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ndaV\Desktop\15.02.2022. Ārkārtas domes sēde\"/>
    </mc:Choice>
  </mc:AlternateContent>
  <bookViews>
    <workbookView xWindow="0" yWindow="0" windowWidth="28800" windowHeight="12435" activeTab="3"/>
  </bookViews>
  <sheets>
    <sheet name="Skolas" sheetId="25" r:id="rId1"/>
    <sheet name="bērni līdz 5 gadiem" sheetId="29" r:id="rId2"/>
    <sheet name="bērni no 5.gadu vec." sheetId="30" r:id="rId3"/>
    <sheet name="PII kopā" sheetId="3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25" l="1"/>
  <c r="S21" i="25"/>
  <c r="S30" i="25"/>
  <c r="T15" i="30"/>
  <c r="T16" i="30"/>
  <c r="T18" i="30"/>
  <c r="T19" i="30"/>
  <c r="T20" i="30"/>
  <c r="T21" i="30"/>
  <c r="T22" i="30"/>
  <c r="T23" i="30"/>
  <c r="T25" i="30"/>
  <c r="T26" i="30"/>
  <c r="T27" i="30"/>
  <c r="T28" i="30"/>
  <c r="T29" i="30"/>
  <c r="T30" i="30"/>
  <c r="T31" i="30"/>
  <c r="T32" i="30"/>
  <c r="T14" i="30"/>
  <c r="T15" i="29"/>
  <c r="T16" i="29"/>
  <c r="T18" i="29"/>
  <c r="T19" i="29"/>
  <c r="T20" i="29"/>
  <c r="T21" i="29"/>
  <c r="T22" i="29"/>
  <c r="T23" i="29"/>
  <c r="T25" i="29"/>
  <c r="T26" i="29"/>
  <c r="T27" i="29"/>
  <c r="T28" i="29"/>
  <c r="T29" i="29"/>
  <c r="T30" i="29"/>
  <c r="T31" i="29"/>
  <c r="T32" i="29"/>
  <c r="T14" i="29"/>
  <c r="C32" i="35"/>
  <c r="D32" i="35"/>
  <c r="E32" i="35"/>
  <c r="F32" i="35"/>
  <c r="G32" i="35"/>
  <c r="H32" i="35"/>
  <c r="I32" i="35"/>
  <c r="J32" i="35"/>
  <c r="K32" i="35"/>
  <c r="L32" i="35"/>
  <c r="M32" i="35"/>
  <c r="N32" i="35"/>
  <c r="O32" i="35"/>
  <c r="P32" i="35"/>
  <c r="Q32" i="35"/>
  <c r="R32" i="35"/>
  <c r="S32" i="35"/>
  <c r="T32" i="35" l="1"/>
  <c r="O14" i="35"/>
  <c r="O15" i="35"/>
  <c r="O16" i="35"/>
  <c r="O18" i="35"/>
  <c r="O19" i="35"/>
  <c r="O20" i="35"/>
  <c r="O21" i="35"/>
  <c r="O22" i="35"/>
  <c r="O23" i="35"/>
  <c r="O25" i="35"/>
  <c r="O26" i="35"/>
  <c r="O27" i="35"/>
  <c r="O28" i="35"/>
  <c r="O29" i="35"/>
  <c r="O30" i="35"/>
  <c r="O31" i="35"/>
  <c r="K31" i="35"/>
  <c r="K30" i="35"/>
  <c r="K29" i="35"/>
  <c r="K28" i="35"/>
  <c r="K27" i="35"/>
  <c r="K26" i="35"/>
  <c r="K25" i="35"/>
  <c r="K23" i="35"/>
  <c r="K22" i="35"/>
  <c r="K21" i="35"/>
  <c r="K20" i="35"/>
  <c r="K19" i="35"/>
  <c r="K18" i="35"/>
  <c r="K16" i="35"/>
  <c r="K15" i="35"/>
  <c r="K14" i="35"/>
  <c r="S12" i="35"/>
  <c r="R12" i="35"/>
  <c r="P12" i="35"/>
  <c r="O12" i="35"/>
  <c r="N12" i="35"/>
  <c r="M12" i="35"/>
  <c r="L12" i="35"/>
  <c r="K12" i="35"/>
  <c r="J12" i="35"/>
  <c r="I12" i="35"/>
  <c r="H12" i="35"/>
  <c r="G12" i="35"/>
  <c r="F12" i="35"/>
  <c r="E12" i="35"/>
  <c r="D12" i="35"/>
  <c r="C12" i="35"/>
  <c r="O24" i="35" l="1"/>
  <c r="K24" i="35"/>
  <c r="K17" i="35"/>
  <c r="O17" i="35"/>
  <c r="G14" i="35"/>
  <c r="K33" i="35" l="1"/>
  <c r="K34" i="35" s="1"/>
  <c r="O33" i="35"/>
  <c r="O34" i="35" s="1"/>
  <c r="O13" i="25"/>
  <c r="O14" i="25"/>
  <c r="Q14" i="25"/>
  <c r="Q13" i="25"/>
  <c r="R14" i="25"/>
  <c r="R13" i="25"/>
  <c r="R18" i="25"/>
  <c r="I13" i="25" l="1"/>
  <c r="I14" i="25"/>
  <c r="F14" i="25"/>
  <c r="F13" i="25"/>
  <c r="P14" i="25"/>
  <c r="P13" i="25"/>
  <c r="M14" i="25"/>
  <c r="M13" i="25"/>
  <c r="K14" i="25"/>
  <c r="K13" i="25"/>
  <c r="G14" i="25"/>
  <c r="G13" i="25"/>
  <c r="E14" i="25"/>
  <c r="E13" i="25"/>
  <c r="L14" i="25" l="1"/>
  <c r="L13" i="25"/>
  <c r="S29" i="25" l="1"/>
  <c r="S31" i="25"/>
  <c r="C20" i="25"/>
  <c r="C18" i="25"/>
  <c r="C14" i="25"/>
  <c r="C13" i="25"/>
  <c r="I19" i="25"/>
  <c r="G22" i="25"/>
  <c r="F20" i="25"/>
  <c r="F19" i="25"/>
  <c r="F18" i="25"/>
  <c r="M17" i="25" l="1"/>
  <c r="S17" i="25" s="1"/>
  <c r="D14" i="25" l="1"/>
  <c r="S14" i="25" s="1"/>
  <c r="D13" i="25"/>
  <c r="S13" i="25" s="1"/>
  <c r="C19" i="25"/>
  <c r="D19" i="25"/>
  <c r="D20" i="25"/>
  <c r="D18" i="25"/>
  <c r="R20" i="25"/>
  <c r="R19" i="25"/>
  <c r="S25" i="25"/>
  <c r="P20" i="25"/>
  <c r="P19" i="25"/>
  <c r="P18" i="25"/>
  <c r="Q19" i="25"/>
  <c r="Q18" i="25"/>
  <c r="M20" i="25"/>
  <c r="M19" i="25"/>
  <c r="M18" i="25"/>
  <c r="O20" i="25"/>
  <c r="O19" i="25"/>
  <c r="O18" i="25"/>
  <c r="R11" i="25"/>
  <c r="Q12" i="30"/>
  <c r="T12" i="30" s="1"/>
  <c r="Q12" i="29"/>
  <c r="T12" i="29" s="1"/>
  <c r="C11" i="25"/>
  <c r="S28" i="25" l="1"/>
  <c r="S26" i="25"/>
  <c r="Q12" i="35"/>
  <c r="T12" i="35" s="1"/>
  <c r="R21" i="35"/>
  <c r="R26" i="35"/>
  <c r="P20" i="35"/>
  <c r="R20" i="35"/>
  <c r="P21" i="35"/>
  <c r="N28" i="35"/>
  <c r="S15" i="35"/>
  <c r="D20" i="35"/>
  <c r="F15" i="35"/>
  <c r="F14" i="35"/>
  <c r="F18" i="35"/>
  <c r="F19" i="35"/>
  <c r="F22" i="35"/>
  <c r="F25" i="35"/>
  <c r="F26" i="35"/>
  <c r="F30" i="35"/>
  <c r="E19" i="35"/>
  <c r="P18" i="35"/>
  <c r="P15" i="35"/>
  <c r="P14" i="35"/>
  <c r="D28" i="35"/>
  <c r="D22" i="35"/>
  <c r="S23" i="35"/>
  <c r="S22" i="35"/>
  <c r="R14" i="35"/>
  <c r="S28" i="35"/>
  <c r="E21" i="35"/>
  <c r="C31" i="35"/>
  <c r="C18" i="35"/>
  <c r="C15" i="35"/>
  <c r="E31" i="35"/>
  <c r="E27" i="35"/>
  <c r="E29" i="35"/>
  <c r="E28" i="35"/>
  <c r="E22" i="35"/>
  <c r="E14" i="35"/>
  <c r="E15" i="35"/>
  <c r="N25" i="35"/>
  <c r="N14" i="35"/>
  <c r="N27" i="35"/>
  <c r="N26" i="35"/>
  <c r="N15" i="35"/>
  <c r="N18" i="35"/>
  <c r="H22" i="35"/>
  <c r="H29" i="35"/>
  <c r="H18" i="35"/>
  <c r="H15" i="35"/>
  <c r="H14" i="35"/>
  <c r="H27" i="35"/>
  <c r="H30" i="35"/>
  <c r="R15" i="35"/>
  <c r="S21" i="35"/>
  <c r="D14" i="35"/>
  <c r="E25" i="35"/>
  <c r="L15" i="35"/>
  <c r="L26" i="35"/>
  <c r="L18" i="35"/>
  <c r="L23" i="35"/>
  <c r="L14" i="35"/>
  <c r="R19" i="35"/>
  <c r="S14" i="35"/>
  <c r="J15" i="35"/>
  <c r="J22" i="35"/>
  <c r="J23" i="35"/>
  <c r="J30" i="35"/>
  <c r="I27" i="35"/>
  <c r="I16" i="35"/>
  <c r="I19" i="35"/>
  <c r="I30" i="35"/>
  <c r="M22" i="35"/>
  <c r="M18" i="35"/>
  <c r="M15" i="35"/>
  <c r="M14" i="35"/>
  <c r="G22" i="35"/>
  <c r="G15" i="35"/>
  <c r="G26" i="35"/>
  <c r="G27" i="35"/>
  <c r="N20" i="35"/>
  <c r="C14" i="35"/>
  <c r="D15" i="35"/>
  <c r="S11" i="25"/>
  <c r="R16" i="35"/>
  <c r="L31" i="35"/>
  <c r="L16" i="35"/>
  <c r="E16" i="35"/>
  <c r="J31" i="35"/>
  <c r="J16" i="35"/>
  <c r="S31" i="35"/>
  <c r="D16" i="35"/>
  <c r="N31" i="35"/>
  <c r="H16" i="35"/>
  <c r="C16" i="35"/>
  <c r="N23" i="25"/>
  <c r="N16" i="25"/>
  <c r="O24" i="30"/>
  <c r="O17" i="30"/>
  <c r="O24" i="29"/>
  <c r="O17" i="29"/>
  <c r="K24" i="30"/>
  <c r="K17" i="30"/>
  <c r="K24" i="29"/>
  <c r="K17" i="29"/>
  <c r="J23" i="25"/>
  <c r="J16" i="25"/>
  <c r="H23" i="25"/>
  <c r="H16" i="25"/>
  <c r="J32" i="25" l="1"/>
  <c r="J33" i="25" s="1"/>
  <c r="F16" i="35"/>
  <c r="R28" i="35"/>
  <c r="C27" i="35"/>
  <c r="D21" i="35"/>
  <c r="P26" i="35"/>
  <c r="C30" i="35"/>
  <c r="C23" i="35"/>
  <c r="I23" i="35"/>
  <c r="N22" i="35"/>
  <c r="E26" i="35"/>
  <c r="C20" i="35"/>
  <c r="D30" i="35"/>
  <c r="P30" i="35"/>
  <c r="D26" i="35"/>
  <c r="I22" i="35"/>
  <c r="I26" i="35"/>
  <c r="I29" i="35"/>
  <c r="C28" i="35"/>
  <c r="S20" i="35"/>
  <c r="D23" i="35"/>
  <c r="D27" i="35"/>
  <c r="P28" i="35"/>
  <c r="P29" i="35"/>
  <c r="F20" i="35"/>
  <c r="C19" i="35"/>
  <c r="R31" i="35"/>
  <c r="R27" i="35"/>
  <c r="M16" i="35"/>
  <c r="G23" i="35"/>
  <c r="M21" i="35"/>
  <c r="M26" i="35"/>
  <c r="I15" i="35"/>
  <c r="I18" i="35"/>
  <c r="L27" i="35"/>
  <c r="H26" i="35"/>
  <c r="M31" i="35"/>
  <c r="P16" i="35"/>
  <c r="G31" i="35"/>
  <c r="G28" i="35"/>
  <c r="G29" i="35"/>
  <c r="M28" i="35"/>
  <c r="M23" i="35"/>
  <c r="I25" i="35"/>
  <c r="J28" i="35"/>
  <c r="J27" i="35"/>
  <c r="D19" i="35"/>
  <c r="L30" i="35"/>
  <c r="L28" i="35"/>
  <c r="H31" i="35"/>
  <c r="H28" i="35"/>
  <c r="N29" i="35"/>
  <c r="D18" i="35"/>
  <c r="F21" i="35"/>
  <c r="F31" i="35"/>
  <c r="E20" i="35"/>
  <c r="R29" i="35"/>
  <c r="D25" i="35"/>
  <c r="M29" i="35"/>
  <c r="C26" i="35"/>
  <c r="S18" i="35"/>
  <c r="F27" i="35"/>
  <c r="I31" i="35"/>
  <c r="F23" i="35"/>
  <c r="G16" i="35"/>
  <c r="S16" i="35"/>
  <c r="G30" i="35"/>
  <c r="G18" i="35"/>
  <c r="M27" i="35"/>
  <c r="I28" i="35"/>
  <c r="I21" i="35"/>
  <c r="I14" i="35"/>
  <c r="J18" i="35"/>
  <c r="S26" i="35"/>
  <c r="N19" i="35"/>
  <c r="P19" i="35"/>
  <c r="C22" i="35"/>
  <c r="P25" i="35"/>
  <c r="P31" i="35"/>
  <c r="P23" i="35"/>
  <c r="F29" i="35"/>
  <c r="S19" i="35"/>
  <c r="R30" i="35"/>
  <c r="R18" i="35"/>
  <c r="N16" i="35"/>
  <c r="S25" i="35"/>
  <c r="M30" i="35"/>
  <c r="I20" i="35"/>
  <c r="J26" i="35"/>
  <c r="L22" i="35"/>
  <c r="C25" i="35"/>
  <c r="H23" i="35"/>
  <c r="N30" i="35"/>
  <c r="N23" i="35"/>
  <c r="E30" i="35"/>
  <c r="E23" i="35"/>
  <c r="E18" i="35"/>
  <c r="C21" i="35"/>
  <c r="C29" i="35"/>
  <c r="S30" i="35"/>
  <c r="S29" i="35"/>
  <c r="S27" i="35"/>
  <c r="D31" i="35"/>
  <c r="D29" i="35"/>
  <c r="P27" i="35"/>
  <c r="P22" i="35"/>
  <c r="F28" i="35"/>
  <c r="R25" i="35"/>
  <c r="R22" i="35"/>
  <c r="R23" i="35"/>
  <c r="N21" i="35"/>
  <c r="O33" i="29"/>
  <c r="O34" i="29" s="1"/>
  <c r="I17" i="30"/>
  <c r="I24" i="30"/>
  <c r="M24" i="30"/>
  <c r="Q15" i="35"/>
  <c r="Q14" i="35"/>
  <c r="Q26" i="35"/>
  <c r="Q25" i="35"/>
  <c r="Q28" i="35"/>
  <c r="N32" i="25"/>
  <c r="N33" i="25" s="1"/>
  <c r="M24" i="29"/>
  <c r="H32" i="25"/>
  <c r="H33" i="25" s="1"/>
  <c r="L23" i="25"/>
  <c r="L22" i="25"/>
  <c r="L20" i="25"/>
  <c r="L19" i="25"/>
  <c r="L18" i="25"/>
  <c r="S27" i="25"/>
  <c r="K20" i="25"/>
  <c r="K19" i="25"/>
  <c r="K18" i="25"/>
  <c r="I23" i="25"/>
  <c r="I22" i="25"/>
  <c r="I20" i="25"/>
  <c r="I18" i="25"/>
  <c r="G23" i="25"/>
  <c r="G20" i="25"/>
  <c r="G19" i="25"/>
  <c r="G18" i="25"/>
  <c r="E17" i="29"/>
  <c r="C16" i="25"/>
  <c r="C23" i="25"/>
  <c r="D17" i="30"/>
  <c r="E17" i="30"/>
  <c r="F17" i="30"/>
  <c r="N17" i="30"/>
  <c r="P17" i="30"/>
  <c r="R17" i="30"/>
  <c r="S17" i="30"/>
  <c r="C17" i="30"/>
  <c r="D24" i="30"/>
  <c r="E24" i="30"/>
  <c r="F24" i="30"/>
  <c r="N24" i="30"/>
  <c r="P24" i="30"/>
  <c r="R24" i="30"/>
  <c r="S24" i="30"/>
  <c r="C24" i="30"/>
  <c r="D24" i="29"/>
  <c r="E24" i="29"/>
  <c r="F24" i="29"/>
  <c r="N24" i="29"/>
  <c r="P24" i="29"/>
  <c r="R24" i="29"/>
  <c r="S24" i="29"/>
  <c r="C24" i="29"/>
  <c r="D17" i="29"/>
  <c r="F17" i="29"/>
  <c r="N17" i="29"/>
  <c r="P17" i="29"/>
  <c r="R17" i="29"/>
  <c r="S17" i="29"/>
  <c r="C17" i="29"/>
  <c r="D23" i="25"/>
  <c r="E23" i="25"/>
  <c r="M23" i="25"/>
  <c r="O23" i="25"/>
  <c r="P23" i="25"/>
  <c r="Q23" i="25"/>
  <c r="R23" i="25"/>
  <c r="D16" i="25"/>
  <c r="E16" i="25"/>
  <c r="M16" i="25"/>
  <c r="O16" i="25"/>
  <c r="P16" i="25"/>
  <c r="Q16" i="25"/>
  <c r="R16" i="25"/>
  <c r="S22" i="25" l="1"/>
  <c r="S19" i="25"/>
  <c r="F23" i="25"/>
  <c r="S24" i="25"/>
  <c r="S20" i="25"/>
  <c r="S18" i="25"/>
  <c r="T15" i="35"/>
  <c r="T26" i="35"/>
  <c r="T28" i="35"/>
  <c r="S17" i="35"/>
  <c r="R17" i="35"/>
  <c r="N24" i="35"/>
  <c r="F24" i="35"/>
  <c r="R24" i="35"/>
  <c r="E17" i="35"/>
  <c r="E24" i="35"/>
  <c r="P17" i="35"/>
  <c r="N17" i="35"/>
  <c r="F17" i="35"/>
  <c r="I17" i="35"/>
  <c r="C17" i="35"/>
  <c r="P24" i="35"/>
  <c r="S24" i="35"/>
  <c r="S33" i="35" s="1"/>
  <c r="S34" i="35" s="1"/>
  <c r="D17" i="35"/>
  <c r="I24" i="35"/>
  <c r="M20" i="35"/>
  <c r="Q16" i="35"/>
  <c r="T16" i="35" s="1"/>
  <c r="Q21" i="35"/>
  <c r="M25" i="35"/>
  <c r="M24" i="35" s="1"/>
  <c r="Q30" i="35"/>
  <c r="T30" i="35" s="1"/>
  <c r="Q20" i="35"/>
  <c r="Q27" i="35"/>
  <c r="T27" i="35" s="1"/>
  <c r="M19" i="35"/>
  <c r="Q22" i="35"/>
  <c r="T22" i="35" s="1"/>
  <c r="Q29" i="35"/>
  <c r="Q23" i="35"/>
  <c r="T23" i="35" s="1"/>
  <c r="Q19" i="35"/>
  <c r="Q18" i="35"/>
  <c r="T18" i="35" s="1"/>
  <c r="Q31" i="35"/>
  <c r="T31" i="35" s="1"/>
  <c r="C24" i="35"/>
  <c r="D24" i="35"/>
  <c r="M17" i="30"/>
  <c r="I33" i="30"/>
  <c r="I34" i="30" s="1"/>
  <c r="H24" i="30"/>
  <c r="P33" i="29"/>
  <c r="P34" i="29" s="1"/>
  <c r="H19" i="35"/>
  <c r="L20" i="35"/>
  <c r="G24" i="30"/>
  <c r="H20" i="35"/>
  <c r="L21" i="35"/>
  <c r="Q17" i="29"/>
  <c r="Q24" i="29"/>
  <c r="Q24" i="30"/>
  <c r="Q17" i="30"/>
  <c r="M17" i="29"/>
  <c r="P32" i="25"/>
  <c r="C32" i="25"/>
  <c r="I16" i="25"/>
  <c r="F16" i="25"/>
  <c r="K23" i="25"/>
  <c r="G16" i="25"/>
  <c r="G32" i="25" s="1"/>
  <c r="L16" i="25"/>
  <c r="K16" i="25"/>
  <c r="E32" i="25"/>
  <c r="F33" i="35" l="1"/>
  <c r="F34" i="35" s="1"/>
  <c r="N33" i="35"/>
  <c r="N34" i="35" s="1"/>
  <c r="S23" i="25"/>
  <c r="S16" i="25"/>
  <c r="R33" i="35"/>
  <c r="R34" i="35" s="1"/>
  <c r="G33" i="25"/>
  <c r="E33" i="35"/>
  <c r="E34" i="35" s="1"/>
  <c r="I33" i="35"/>
  <c r="I34" i="35" s="1"/>
  <c r="P33" i="35"/>
  <c r="P34" i="35" s="1"/>
  <c r="M17" i="35"/>
  <c r="M33" i="35" s="1"/>
  <c r="M34" i="35" s="1"/>
  <c r="Q17" i="35"/>
  <c r="D33" i="35"/>
  <c r="D34" i="35" s="1"/>
  <c r="Q24" i="35"/>
  <c r="H21" i="35"/>
  <c r="H17" i="35" s="1"/>
  <c r="J29" i="35"/>
  <c r="J19" i="35"/>
  <c r="L29" i="35"/>
  <c r="J20" i="35"/>
  <c r="G24" i="29"/>
  <c r="G25" i="35"/>
  <c r="L19" i="35"/>
  <c r="L17" i="35" s="1"/>
  <c r="H24" i="29"/>
  <c r="H25" i="35"/>
  <c r="H24" i="35" s="1"/>
  <c r="G17" i="29"/>
  <c r="G21" i="35"/>
  <c r="C33" i="35"/>
  <c r="C34" i="35" s="1"/>
  <c r="G20" i="35"/>
  <c r="G19" i="35"/>
  <c r="L25" i="35"/>
  <c r="J25" i="35"/>
  <c r="J21" i="35"/>
  <c r="J24" i="29"/>
  <c r="L24" i="30"/>
  <c r="L24" i="29"/>
  <c r="H17" i="29"/>
  <c r="G17" i="30"/>
  <c r="H17" i="30"/>
  <c r="J17" i="29"/>
  <c r="J17" i="30"/>
  <c r="L17" i="29"/>
  <c r="J24" i="30"/>
  <c r="T24" i="30" s="1"/>
  <c r="L17" i="30"/>
  <c r="T17" i="30" l="1"/>
  <c r="T21" i="35"/>
  <c r="T29" i="35"/>
  <c r="T19" i="35"/>
  <c r="T20" i="35"/>
  <c r="T25" i="35"/>
  <c r="Q33" i="35"/>
  <c r="Q34" i="35" s="1"/>
  <c r="L24" i="35"/>
  <c r="L33" i="35" s="1"/>
  <c r="L34" i="35" s="1"/>
  <c r="G17" i="35"/>
  <c r="J17" i="35"/>
  <c r="H33" i="35"/>
  <c r="H34" i="35" s="1"/>
  <c r="J24" i="35"/>
  <c r="G24" i="35"/>
  <c r="M33" i="30"/>
  <c r="T24" i="35" l="1"/>
  <c r="T17" i="35"/>
  <c r="G33" i="35"/>
  <c r="G34" i="35" s="1"/>
  <c r="M33" i="29"/>
  <c r="Q33" i="29"/>
  <c r="S33" i="29"/>
  <c r="Q33" i="30"/>
  <c r="L33" i="30"/>
  <c r="F33" i="30"/>
  <c r="P33" i="25"/>
  <c r="F32" i="25"/>
  <c r="E33" i="30" l="1"/>
  <c r="E34" i="30" s="1"/>
  <c r="C33" i="30"/>
  <c r="C33" i="25"/>
  <c r="H33" i="30"/>
  <c r="H34" i="30" s="1"/>
  <c r="G33" i="29"/>
  <c r="G34" i="29" s="1"/>
  <c r="E33" i="29"/>
  <c r="E34" i="29" s="1"/>
  <c r="N33" i="30"/>
  <c r="N34" i="30" s="1"/>
  <c r="S33" i="30"/>
  <c r="S34" i="30" s="1"/>
  <c r="G33" i="30"/>
  <c r="G34" i="30" s="1"/>
  <c r="R33" i="30"/>
  <c r="R34" i="30" s="1"/>
  <c r="R33" i="29"/>
  <c r="R34" i="29" s="1"/>
  <c r="N33" i="29"/>
  <c r="N34" i="29" s="1"/>
  <c r="P33" i="30"/>
  <c r="P34" i="30" s="1"/>
  <c r="D33" i="30"/>
  <c r="D34" i="30" s="1"/>
  <c r="D33" i="29"/>
  <c r="D34" i="29" s="1"/>
  <c r="C33" i="29"/>
  <c r="L33" i="29"/>
  <c r="H33" i="29"/>
  <c r="H34" i="29" s="1"/>
  <c r="F33" i="29"/>
  <c r="F34" i="29" s="1"/>
  <c r="Q34" i="29"/>
  <c r="M34" i="30"/>
  <c r="S34" i="29"/>
  <c r="M34" i="29"/>
  <c r="Q34" i="30"/>
  <c r="Q32" i="25"/>
  <c r="K32" i="25"/>
  <c r="L34" i="30"/>
  <c r="F34" i="30"/>
  <c r="E33" i="25"/>
  <c r="D32" i="25"/>
  <c r="I32" i="25"/>
  <c r="O32" i="25"/>
  <c r="O33" i="25" s="1"/>
  <c r="M32" i="25"/>
  <c r="M33" i="25" s="1"/>
  <c r="L32" i="25"/>
  <c r="L33" i="25" s="1"/>
  <c r="F33" i="25"/>
  <c r="D33" i="25" l="1"/>
  <c r="Q33" i="25"/>
  <c r="I33" i="25"/>
  <c r="K33" i="25"/>
  <c r="L34" i="29"/>
  <c r="C34" i="29"/>
  <c r="R32" i="25"/>
  <c r="R33" i="25" s="1"/>
  <c r="C34" i="30"/>
  <c r="S32" i="25" l="1"/>
  <c r="S33" i="25" s="1"/>
  <c r="K33" i="29"/>
  <c r="K34" i="29" l="1"/>
  <c r="I17" i="29"/>
  <c r="T17" i="29" s="1"/>
  <c r="I24" i="29"/>
  <c r="T24" i="29" s="1"/>
  <c r="K33" i="30"/>
  <c r="O33" i="30"/>
  <c r="O34" i="30" s="1"/>
  <c r="K34" i="30" l="1"/>
  <c r="I33" i="29"/>
  <c r="I34" i="29" s="1"/>
  <c r="J14" i="35" l="1"/>
  <c r="T14" i="35" s="1"/>
  <c r="J33" i="29"/>
  <c r="T33" i="29" s="1"/>
  <c r="J33" i="30"/>
  <c r="T33" i="30" s="1"/>
  <c r="J33" i="35" l="1"/>
  <c r="J34" i="35" s="1"/>
  <c r="T33" i="35"/>
  <c r="T34" i="35" s="1"/>
  <c r="J34" i="30"/>
  <c r="T34" i="30"/>
  <c r="T34" i="29"/>
  <c r="J34" i="29"/>
</calcChain>
</file>

<file path=xl/sharedStrings.xml><?xml version="1.0" encoding="utf-8"?>
<sst xmlns="http://schemas.openxmlformats.org/spreadsheetml/2006/main" count="198" uniqueCount="81">
  <si>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</si>
  <si>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</si>
  <si>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</si>
  <si>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</si>
  <si>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</si>
  <si>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</si>
  <si>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</si>
  <si>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</si>
  <si>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</si>
  <si>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</si>
  <si>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</si>
  <si>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</si>
  <si>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</si>
  <si>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</si>
  <si>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</si>
  <si>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</si>
  <si>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Lazdonas pamatsk.</t>
  </si>
  <si>
    <t>Liezēres pamatsk.</t>
  </si>
  <si>
    <t>Andreja Eglīša Ļaudonas vidusskola</t>
  </si>
  <si>
    <t>Praulienas pamatsk.</t>
  </si>
  <si>
    <t>Vestienas pamatsk.</t>
  </si>
  <si>
    <t>Pavisam</t>
  </si>
  <si>
    <t>PII "Kastanītis"</t>
  </si>
  <si>
    <t xml:space="preserve">PII "Priedīte" </t>
  </si>
  <si>
    <t xml:space="preserve">PII "Saulīte" </t>
  </si>
  <si>
    <t>Aronas PII  "Sprīdītis"</t>
  </si>
  <si>
    <t>Bērzaunes PII "Vārpiņa"</t>
  </si>
  <si>
    <t>Dzelzavas PII "Rūķis"</t>
  </si>
  <si>
    <t>Kalsnavas PII "Lācītis Pūks"</t>
  </si>
  <si>
    <t>Praulienas PII "Pasaciņa"</t>
  </si>
  <si>
    <t>Izdevumi uz vienu audzēkni starppašvaldību norēķiniem (mēnesī EUR)</t>
  </si>
  <si>
    <t>Izdevumi uz vienu bērnu līdz 5.gadu vecumam starppašvaldību norēķiniem (mēnesī EUR)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</si>
  <si>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</si>
  <si>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</si>
  <si>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</si>
  <si>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</si>
  <si>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</si>
  <si>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</si>
  <si>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</si>
  <si>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</si>
  <si>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</si>
  <si>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</si>
  <si>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</si>
  <si>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</si>
  <si>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</si>
  <si>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</si>
  <si>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</si>
  <si>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</si>
  <si>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</si>
  <si>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</si>
  <si>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</si>
  <si>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</si>
  <si>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</si>
  <si>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</si>
  <si>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Madonas pilsētas vidusskola</t>
  </si>
  <si>
    <t>Izdevumi uz vienu bērnu no 5.gadu vecuma starppašvaldību norēķiniem (mēnesī EUR)</t>
  </si>
  <si>
    <t>Ošupes pag. Degumnieku pamatsk.</t>
  </si>
  <si>
    <t xml:space="preserve">        09.100. Pirmsskolas  izglītības iestāžu izdevumi pēc 2020.gada naudas plūsmas (eiro)</t>
  </si>
  <si>
    <t>Pēc 2021. gada naudas plūsmas</t>
  </si>
  <si>
    <t xml:space="preserve">Izmaksu aprēķins 2022. gadā bērniem līdz 5.gadu vecumam    </t>
  </si>
  <si>
    <t>Pēc 2021.gada naudas plūsmas</t>
  </si>
  <si>
    <t xml:space="preserve">Izmaksu aprēķins 2022. gadā bērniem no 5.gadu vecuma   </t>
  </si>
  <si>
    <t>Skolēnu skaits uz 01.01.2022</t>
  </si>
  <si>
    <t>Bērnu skaits uz 01.01.2022</t>
  </si>
  <si>
    <t>Cesvaines PII "Brīnumzeme"</t>
  </si>
  <si>
    <t>Cesvaines vidusskola</t>
  </si>
  <si>
    <t>Ērgļu PII "Pienenīte"</t>
  </si>
  <si>
    <t>Ērgļu vidusskola</t>
  </si>
  <si>
    <t>Lubānas vidusskola</t>
  </si>
  <si>
    <t>Lubānas PII "Rūķīši"</t>
  </si>
  <si>
    <t xml:space="preserve">        09.100. Pirmsskolas  izglītības iestāžu izdevumi pēc 2021.gada naudas plūsmas (eiro)</t>
  </si>
  <si>
    <t>Bērnu skaits</t>
  </si>
  <si>
    <t>2021. gada sākuma aprēķins</t>
  </si>
  <si>
    <t>Izmaksas gadā</t>
  </si>
  <si>
    <t>Izdevumi uz vienu audzēkni mēnesī</t>
  </si>
  <si>
    <t xml:space="preserve">Lazdonas pamatsk. </t>
  </si>
  <si>
    <t xml:space="preserve">Izmaksu aprēķins 2022. gadā par vienu izglītojamo </t>
  </si>
  <si>
    <t>Pielikums</t>
  </si>
  <si>
    <t>Madonas novada pašvaldības domes</t>
  </si>
  <si>
    <t>15.02.2022. lēmumam Nr. 99</t>
  </si>
  <si>
    <t>(Prot. Nr. 3, 30.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</si>
</sst>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%"/>
    <numFmt numFmtId="166" formatCode="0.0"/>
    <numFmt numFmtId="167" formatCode="_-* #,##0_-;\-* #,##0_-;_-* &quot;-&quot;??_-;_-@_-"/>
  </numFmts>
  <fonts count="23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8" fillId="0" borderId="0"/>
    <xf numFmtId="0" fontId="14" fillId="0" borderId="0"/>
    <xf numFmtId="9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89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2" fontId="4" fillId="0" borderId="0" xfId="0" applyNumberFormat="1" applyFont="1" applyBorder="1"/>
    <xf numFmtId="0" fontId="0" fillId="0" borderId="0" xfId="0" applyBorder="1"/>
    <xf numFmtId="0" fontId="9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1" fontId="0" fillId="0" borderId="0" xfId="0" applyNumberFormat="1"/>
    <xf numFmtId="2" fontId="0" fillId="0" borderId="0" xfId="0" applyNumberFormat="1"/>
    <xf numFmtId="0" fontId="5" fillId="0" borderId="0" xfId="0" applyFont="1" applyBorder="1"/>
    <xf numFmtId="2" fontId="0" fillId="0" borderId="0" xfId="0" applyNumberFormat="1" applyBorder="1"/>
    <xf numFmtId="1" fontId="0" fillId="0" borderId="0" xfId="0" applyNumberFormat="1" applyBorder="1"/>
    <xf numFmtId="0" fontId="0" fillId="0" borderId="0" xfId="0" applyFill="1"/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2" fontId="0" fillId="0" borderId="0" xfId="0" applyNumberFormat="1" applyFill="1"/>
    <xf numFmtId="0" fontId="5" fillId="0" borderId="2" xfId="0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5" fillId="0" borderId="0" xfId="0" applyFont="1" applyFill="1" applyBorder="1"/>
    <xf numFmtId="0" fontId="4" fillId="0" borderId="0" xfId="1" applyFont="1" applyFill="1" applyBorder="1" applyAlignment="1">
      <alignment vertical="top" wrapText="1"/>
    </xf>
    <xf numFmtId="0" fontId="0" fillId="0" borderId="0" xfId="0" applyFill="1" applyBorder="1"/>
    <xf numFmtId="0" fontId="13" fillId="0" borderId="0" xfId="0" applyFont="1" applyAlignment="1">
      <alignment horizontal="right"/>
    </xf>
    <xf numFmtId="0" fontId="4" fillId="0" borderId="0" xfId="0" applyFont="1" applyBorder="1"/>
    <xf numFmtId="0" fontId="5" fillId="0" borderId="1" xfId="0" applyFont="1" applyFill="1" applyBorder="1"/>
    <xf numFmtId="1" fontId="12" fillId="0" borderId="1" xfId="0" applyNumberFormat="1" applyFont="1" applyFill="1" applyBorder="1"/>
    <xf numFmtId="165" fontId="15" fillId="0" borderId="0" xfId="0" applyNumberFormat="1" applyFont="1"/>
    <xf numFmtId="0" fontId="12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2" applyFont="1" applyFill="1" applyBorder="1" applyAlignment="1">
      <alignment vertical="top" wrapText="1"/>
    </xf>
    <xf numFmtId="0" fontId="4" fillId="0" borderId="2" xfId="1" applyFont="1" applyFill="1" applyBorder="1" applyAlignment="1">
      <alignment vertical="top" wrapText="1"/>
    </xf>
    <xf numFmtId="0" fontId="12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5" fillId="0" borderId="0" xfId="0" applyFont="1"/>
    <xf numFmtId="0" fontId="15" fillId="0" borderId="0" xfId="0" applyFont="1" applyBorder="1"/>
    <xf numFmtId="165" fontId="17" fillId="0" borderId="0" xfId="0" applyNumberFormat="1" applyFont="1"/>
    <xf numFmtId="0" fontId="6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165" fontId="15" fillId="0" borderId="0" xfId="4" applyNumberFormat="1" applyFont="1"/>
    <xf numFmtId="0" fontId="8" fillId="0" borderId="0" xfId="0" applyFont="1" applyFill="1"/>
    <xf numFmtId="0" fontId="8" fillId="0" borderId="0" xfId="0" applyFont="1" applyFill="1" applyBorder="1"/>
    <xf numFmtId="0" fontId="7" fillId="0" borderId="2" xfId="0" applyFont="1" applyFill="1" applyBorder="1" applyAlignment="1">
      <alignment wrapText="1"/>
    </xf>
    <xf numFmtId="0" fontId="0" fillId="0" borderId="5" xfId="0" applyFill="1" applyBorder="1" applyAlignment="1"/>
    <xf numFmtId="166" fontId="0" fillId="0" borderId="0" xfId="0" applyNumberFormat="1"/>
    <xf numFmtId="0" fontId="5" fillId="0" borderId="0" xfId="0" applyFont="1" applyFill="1"/>
    <xf numFmtId="0" fontId="17" fillId="0" borderId="0" xfId="0" applyFont="1" applyFill="1"/>
    <xf numFmtId="0" fontId="5" fillId="0" borderId="1" xfId="0" applyFont="1" applyFill="1" applyBorder="1" applyAlignment="1">
      <alignment horizontal="right"/>
    </xf>
    <xf numFmtId="1" fontId="12" fillId="0" borderId="0" xfId="0" applyNumberFormat="1" applyFont="1" applyFill="1" applyBorder="1"/>
    <xf numFmtId="2" fontId="12" fillId="0" borderId="0" xfId="0" applyNumberFormat="1" applyFont="1"/>
    <xf numFmtId="2" fontId="12" fillId="0" borderId="0" xfId="0" applyNumberFormat="1" applyFont="1" applyFill="1"/>
    <xf numFmtId="2" fontId="12" fillId="0" borderId="0" xfId="0" applyNumberFormat="1" applyFont="1" applyFill="1" applyBorder="1"/>
    <xf numFmtId="0" fontId="2" fillId="0" borderId="1" xfId="0" applyFont="1" applyFill="1" applyBorder="1"/>
    <xf numFmtId="0" fontId="0" fillId="0" borderId="1" xfId="0" applyBorder="1"/>
    <xf numFmtId="0" fontId="4" fillId="0" borderId="1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right"/>
    </xf>
    <xf numFmtId="3" fontId="0" fillId="0" borderId="0" xfId="0" applyNumberFormat="1"/>
    <xf numFmtId="0" fontId="0" fillId="0" borderId="0" xfId="0" applyFill="1" applyAlignment="1"/>
    <xf numFmtId="0" fontId="13" fillId="0" borderId="0" xfId="0" applyFont="1" applyFill="1" applyAlignment="1">
      <alignment horizontal="right"/>
    </xf>
    <xf numFmtId="0" fontId="19" fillId="0" borderId="0" xfId="0" applyFont="1" applyBorder="1" applyAlignment="1">
      <alignment horizontal="right"/>
    </xf>
    <xf numFmtId="167" fontId="20" fillId="0" borderId="1" xfId="5" applyNumberFormat="1" applyFont="1" applyFill="1" applyBorder="1"/>
    <xf numFmtId="167" fontId="20" fillId="0" borderId="1" xfId="5" applyNumberFormat="1" applyFont="1" applyBorder="1"/>
    <xf numFmtId="167" fontId="22" fillId="0" borderId="1" xfId="5" applyNumberFormat="1" applyFont="1" applyBorder="1"/>
    <xf numFmtId="1" fontId="20" fillId="0" borderId="1" xfId="0" applyNumberFormat="1" applyFont="1" applyFill="1" applyBorder="1"/>
    <xf numFmtId="167" fontId="21" fillId="0" borderId="1" xfId="5" applyNumberFormat="1" applyFont="1" applyBorder="1"/>
    <xf numFmtId="0" fontId="22" fillId="0" borderId="1" xfId="0" applyFont="1" applyFill="1" applyBorder="1"/>
    <xf numFmtId="167" fontId="20" fillId="0" borderId="1" xfId="5" applyNumberFormat="1" applyFont="1" applyFill="1" applyBorder="1" applyAlignment="1">
      <alignment horizontal="left"/>
    </xf>
    <xf numFmtId="167" fontId="20" fillId="0" borderId="1" xfId="5" applyNumberFormat="1" applyFont="1" applyBorder="1" applyAlignment="1">
      <alignment horizontal="left"/>
    </xf>
    <xf numFmtId="167" fontId="22" fillId="0" borderId="1" xfId="5" applyNumberFormat="1" applyFont="1" applyBorder="1" applyAlignment="1">
      <alignment horizontal="left"/>
    </xf>
    <xf numFmtId="167" fontId="22" fillId="0" borderId="1" xfId="5" applyNumberFormat="1" applyFont="1" applyFill="1" applyBorder="1" applyAlignment="1">
      <alignment horizontal="left"/>
    </xf>
    <xf numFmtId="167" fontId="20" fillId="2" borderId="1" xfId="5" applyNumberFormat="1" applyFont="1" applyFill="1" applyBorder="1" applyAlignment="1">
      <alignment horizontal="left"/>
    </xf>
    <xf numFmtId="2" fontId="20" fillId="2" borderId="1" xfId="0" applyNumberFormat="1" applyFont="1" applyFill="1" applyBorder="1"/>
    <xf numFmtId="167" fontId="20" fillId="2" borderId="1" xfId="5" applyNumberFormat="1" applyFont="1" applyFill="1" applyBorder="1"/>
    <xf numFmtId="164" fontId="20" fillId="2" borderId="1" xfId="5" applyNumberFormat="1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4" fillId="2" borderId="4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left" wrapText="1"/>
    </xf>
    <xf numFmtId="0" fontId="0" fillId="0" borderId="7" xfId="0" applyBorder="1" applyAlignment="1"/>
    <xf numFmtId="0" fontId="2" fillId="0" borderId="0" xfId="0" applyFont="1"/>
  </cellXfs>
  <cellStyles count="11">
    <cellStyle name="Komats" xfId="5" builtinId="3"/>
    <cellStyle name="Komats 2" xfId="8"/>
    <cellStyle name="Parasts" xfId="0" builtinId="0"/>
    <cellStyle name="Parasts 2" xfId="1"/>
    <cellStyle name="Parasts 2 2" xfId="2"/>
    <cellStyle name="Parasts 2 2 2" xfId="9"/>
    <cellStyle name="Parasts 2 3" xfId="7"/>
    <cellStyle name="Parasts 3" xfId="3"/>
    <cellStyle name="Parasts 3 2" xfId="10"/>
    <cellStyle name="Parasts 4" xfId="6"/>
    <cellStyle name="Procenti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U47"/>
  <sheetViews>
    <sheetView workbookViewId="0">
      <pane ySplit="10" topLeftCell="A11" activePane="bottomLeft" state="frozen"/>
      <selection pane="bottomLeft" activeCell="D1" sqref="D1:F4"/>
    </sheetView>
  </sheetViews>
  <sheetFormatPr defaultRowHeight="12.75" x14ac:dyDescent="0.2"/>
  <cols>
    <col min="1" max="1" width="12.28515625" style="19" customWidth="1"/>
    <col min="2" max="2" width="44.7109375" customWidth="1"/>
    <col min="3" max="3" width="13.5703125" customWidth="1"/>
    <col min="4" max="4" width="11.28515625" customWidth="1"/>
    <col min="5" max="5" width="10.7109375" customWidth="1"/>
    <col min="6" max="6" width="11.140625" customWidth="1"/>
    <col min="7" max="7" width="9.140625" customWidth="1"/>
    <col min="8" max="8" width="11" customWidth="1"/>
    <col min="9" max="9" width="10.5703125" customWidth="1"/>
    <col min="10" max="10" width="9.7109375" customWidth="1"/>
    <col min="11" max="11" width="11" customWidth="1"/>
    <col min="12" max="13" width="9.140625" customWidth="1"/>
    <col min="14" max="14" width="11.28515625" customWidth="1"/>
    <col min="15" max="15" width="10.140625" customWidth="1"/>
    <col min="16" max="16" width="11.140625" customWidth="1"/>
    <col min="17" max="17" width="10.85546875" customWidth="1"/>
    <col min="18" max="18" width="10.5703125" customWidth="1"/>
    <col min="19" max="19" width="11.42578125" customWidth="1"/>
    <col min="20" max="20" width="9.140625" style="6" customWidth="1"/>
  </cols>
  <sheetData>
    <row r="1" spans="1:20" x14ac:dyDescent="0.2">
      <c r="D1" t="s">
        <v>77</v>
      </c>
    </row>
    <row r="2" spans="1:20" x14ac:dyDescent="0.2">
      <c r="D2" s="88" t="s">
        <v>78</v>
      </c>
    </row>
    <row r="3" spans="1:20" x14ac:dyDescent="0.2">
      <c r="D3" s="88" t="s">
        <v>79</v>
      </c>
    </row>
    <row r="4" spans="1:20" x14ac:dyDescent="0.2">
      <c r="D4" s="88" t="s">
        <v>80</v>
      </c>
    </row>
    <row r="7" spans="1:20" ht="15" x14ac:dyDescent="0.2">
      <c r="B7" s="7" t="s">
        <v>76</v>
      </c>
    </row>
    <row r="8" spans="1:20" x14ac:dyDescent="0.2">
      <c r="A8" s="53"/>
      <c r="B8" s="3" t="s">
        <v>58</v>
      </c>
      <c r="C8" s="1"/>
    </row>
    <row r="9" spans="1:20" s="42" customFormat="1" ht="12" x14ac:dyDescent="0.2">
      <c r="A9" s="54"/>
      <c r="B9" s="41"/>
      <c r="C9" s="44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T9" s="43"/>
    </row>
    <row r="10" spans="1:20" s="19" customFormat="1" ht="52.5" customHeight="1" x14ac:dyDescent="0.2">
      <c r="A10" s="45" t="s">
        <v>1</v>
      </c>
      <c r="B10" s="46" t="s">
        <v>0</v>
      </c>
      <c r="C10" s="36" t="s">
        <v>54</v>
      </c>
      <c r="D10" s="36" t="s">
        <v>10</v>
      </c>
      <c r="E10" s="37" t="s">
        <v>11</v>
      </c>
      <c r="F10" s="37" t="s">
        <v>12</v>
      </c>
      <c r="G10" s="37" t="s">
        <v>13</v>
      </c>
      <c r="H10" s="37" t="s">
        <v>65</v>
      </c>
      <c r="I10" s="37" t="s">
        <v>14</v>
      </c>
      <c r="J10" s="37" t="s">
        <v>67</v>
      </c>
      <c r="K10" s="37" t="s">
        <v>15</v>
      </c>
      <c r="L10" s="37" t="s">
        <v>16</v>
      </c>
      <c r="M10" s="37" t="s">
        <v>17</v>
      </c>
      <c r="N10" s="24" t="s">
        <v>68</v>
      </c>
      <c r="O10" s="37" t="s">
        <v>18</v>
      </c>
      <c r="P10" s="37" t="s">
        <v>19</v>
      </c>
      <c r="Q10" s="37" t="s">
        <v>56</v>
      </c>
      <c r="R10" s="37" t="s">
        <v>20</v>
      </c>
      <c r="S10" s="24" t="s">
        <v>21</v>
      </c>
      <c r="T10" s="27"/>
    </row>
    <row r="11" spans="1:20" s="19" customFormat="1" ht="22.5" customHeight="1" x14ac:dyDescent="0.2">
      <c r="A11" s="30"/>
      <c r="B11" s="20" t="s">
        <v>62</v>
      </c>
      <c r="C11" s="60">
        <f>32+942</f>
        <v>974</v>
      </c>
      <c r="D11" s="60">
        <v>259</v>
      </c>
      <c r="E11" s="60">
        <v>65</v>
      </c>
      <c r="F11" s="60">
        <v>94</v>
      </c>
      <c r="G11" s="60">
        <v>96</v>
      </c>
      <c r="H11" s="60">
        <v>273</v>
      </c>
      <c r="I11" s="60">
        <v>75</v>
      </c>
      <c r="J11" s="60">
        <v>203</v>
      </c>
      <c r="K11" s="60">
        <v>101</v>
      </c>
      <c r="L11" s="60">
        <v>50</v>
      </c>
      <c r="M11" s="60">
        <v>67</v>
      </c>
      <c r="N11" s="60">
        <v>171</v>
      </c>
      <c r="O11" s="60">
        <v>147</v>
      </c>
      <c r="P11" s="60">
        <v>91</v>
      </c>
      <c r="Q11" s="60">
        <v>69</v>
      </c>
      <c r="R11" s="60">
        <f>50-11-12</f>
        <v>27</v>
      </c>
      <c r="S11" s="33">
        <f>C11+D11+E11+F11+G11+I11+K11+L11+M11+O11+P11+Q11+R11+H11+J11+N11</f>
        <v>2762</v>
      </c>
      <c r="T11" s="27"/>
    </row>
    <row r="12" spans="1:20" ht="10.5" customHeight="1" x14ac:dyDescent="0.25">
      <c r="A12" s="50"/>
      <c r="B12" s="51"/>
      <c r="C12" s="51"/>
      <c r="D12" s="51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38"/>
    </row>
    <row r="13" spans="1:20" ht="39.75" customHeight="1" x14ac:dyDescent="0.25">
      <c r="A13" s="34">
        <v>1100</v>
      </c>
      <c r="B13" s="21" t="s">
        <v>45</v>
      </c>
      <c r="C13" s="74">
        <f>205257.22+7470.38+72.88</f>
        <v>212800.48</v>
      </c>
      <c r="D13" s="74">
        <f>94697.46-1453.8+262.92+16198.27</f>
        <v>109704.85</v>
      </c>
      <c r="E13" s="74">
        <f>32787.21-571.95+15154.01+18360</f>
        <v>65729.26999999999</v>
      </c>
      <c r="F13" s="75">
        <f>7250.22+43.37+132.7+5370.45+24000+8280+17496</f>
        <v>62572.74</v>
      </c>
      <c r="G13" s="74">
        <f>16740.13+5198.02+12000+7847</f>
        <v>41785.15</v>
      </c>
      <c r="H13" s="74">
        <v>246498</v>
      </c>
      <c r="I13" s="74">
        <f>29097.2+97.69+12000+8040</f>
        <v>49234.89</v>
      </c>
      <c r="J13" s="75">
        <v>82510</v>
      </c>
      <c r="K13" s="74">
        <f>24920.02+6040.83+24000+4170+6000+804</f>
        <v>65934.850000000006</v>
      </c>
      <c r="L13" s="74">
        <f>37100.97+995.27+6000</f>
        <v>44096.24</v>
      </c>
      <c r="M13" s="74">
        <f>24486.21+12000+3600</f>
        <v>40086.21</v>
      </c>
      <c r="N13" s="74">
        <v>131772</v>
      </c>
      <c r="O13" s="74">
        <f>33971.12+370.43+12.5+70.5+30000+3312+6000+9108+2139-9000-3792</f>
        <v>72191.55</v>
      </c>
      <c r="P13" s="74">
        <f>31612.71+27.94+24000+6000</f>
        <v>61640.649999999994</v>
      </c>
      <c r="Q13" s="74">
        <f>61549.12+673.56+175+12000-3792-7476</f>
        <v>63129.679999999993</v>
      </c>
      <c r="R13" s="74">
        <f>54042.95+618.51-6636-7800+6000</f>
        <v>46225.46</v>
      </c>
      <c r="S13" s="74">
        <f>C13+D13+E13+F13+G13+I13+K13+L13+M13+O13+P13+Q13+R13+H13+J13+N13</f>
        <v>1395912.02</v>
      </c>
    </row>
    <row r="14" spans="1:20" ht="69.75" customHeight="1" x14ac:dyDescent="0.25">
      <c r="A14" s="34">
        <v>1200</v>
      </c>
      <c r="B14" s="21" t="s">
        <v>44</v>
      </c>
      <c r="C14" s="74">
        <f>53700.79+8758.79+1300</f>
        <v>63759.58</v>
      </c>
      <c r="D14" s="74">
        <f>25912.58+53.36+3783.51</f>
        <v>29749.450000000004</v>
      </c>
      <c r="E14" s="74">
        <f>9781.09+3967.43+4331</f>
        <v>18079.52</v>
      </c>
      <c r="F14" s="75">
        <f>3740.09+5662+1953+4127</f>
        <v>15482.09</v>
      </c>
      <c r="G14" s="74">
        <f>4115.61+297.5+50+1300.38+2831+1851</f>
        <v>10445.49</v>
      </c>
      <c r="H14" s="74">
        <v>61262</v>
      </c>
      <c r="I14" s="74">
        <f>7265.37+288.3+100+2831+1897</f>
        <v>12381.67</v>
      </c>
      <c r="J14" s="75">
        <v>31111</v>
      </c>
      <c r="K14" s="74">
        <f>6281.7+1266.92+550+2027.39+5662+984+1415+190</f>
        <v>18377.010000000002</v>
      </c>
      <c r="L14" s="74">
        <f>9566.33+952.98+250+1415</f>
        <v>12184.31</v>
      </c>
      <c r="M14" s="74">
        <f>5947.65+62.5+2831+849</f>
        <v>9690.15</v>
      </c>
      <c r="N14" s="74">
        <v>51962</v>
      </c>
      <c r="O14" s="74">
        <f>8452.39+804.41+150+7077+781+1415.4+2149+505-2123-895</f>
        <v>18316.2</v>
      </c>
      <c r="P14" s="74">
        <f>7748.42+462.53+150+5662+1415</f>
        <v>15437.95</v>
      </c>
      <c r="Q14" s="74">
        <f>14884.24+583.56+50+2831-895-1764</f>
        <v>15689.8</v>
      </c>
      <c r="R14" s="74">
        <f>12953.9+949.41+268-1565-1840+1415</f>
        <v>12181.31</v>
      </c>
      <c r="S14" s="74">
        <f t="shared" ref="S14:S32" si="0">C14+D14+E14+F14+G14+I14+K14+L14+M14+O14+P14+Q14+R14+H14+J14+N14</f>
        <v>396109.53</v>
      </c>
    </row>
    <row r="15" spans="1:20" ht="45.75" customHeight="1" x14ac:dyDescent="0.25">
      <c r="A15" s="34">
        <v>2100</v>
      </c>
      <c r="B15" s="21" t="s">
        <v>46</v>
      </c>
      <c r="C15" s="74">
        <v>40</v>
      </c>
      <c r="D15" s="74">
        <v>0</v>
      </c>
      <c r="E15" s="74">
        <v>20.350000000000001</v>
      </c>
      <c r="F15" s="75">
        <v>0</v>
      </c>
      <c r="G15" s="74">
        <v>0</v>
      </c>
      <c r="H15" s="74">
        <v>4768</v>
      </c>
      <c r="I15" s="74">
        <v>0</v>
      </c>
      <c r="J15" s="74"/>
      <c r="K15" s="74">
        <v>16</v>
      </c>
      <c r="L15" s="74">
        <v>0</v>
      </c>
      <c r="M15" s="74">
        <v>0</v>
      </c>
      <c r="N15" s="74">
        <v>208</v>
      </c>
      <c r="O15" s="74">
        <v>0</v>
      </c>
      <c r="P15" s="74">
        <v>0</v>
      </c>
      <c r="Q15" s="74">
        <v>0</v>
      </c>
      <c r="R15" s="74">
        <v>0</v>
      </c>
      <c r="S15" s="74">
        <f t="shared" si="0"/>
        <v>5052.3500000000004</v>
      </c>
    </row>
    <row r="16" spans="1:20" ht="21.75" customHeight="1" x14ac:dyDescent="0.25">
      <c r="A16" s="34">
        <v>2200</v>
      </c>
      <c r="B16" s="21" t="s">
        <v>47</v>
      </c>
      <c r="C16" s="74">
        <f>SUM(C17:C22)</f>
        <v>148519.79999999999</v>
      </c>
      <c r="D16" s="74">
        <f t="shared" ref="D16:R16" si="1">SUM(D17:D22)</f>
        <v>94282.889999999985</v>
      </c>
      <c r="E16" s="74">
        <f t="shared" si="1"/>
        <v>37281.06</v>
      </c>
      <c r="F16" s="74">
        <f t="shared" si="1"/>
        <v>49486</v>
      </c>
      <c r="G16" s="74">
        <f t="shared" si="1"/>
        <v>20950.919999999998</v>
      </c>
      <c r="H16" s="74">
        <f t="shared" ref="H16" si="2">SUM(H17:H22)</f>
        <v>122273</v>
      </c>
      <c r="I16" s="74">
        <f t="shared" si="1"/>
        <v>29653.719999999998</v>
      </c>
      <c r="J16" s="74">
        <f t="shared" si="1"/>
        <v>84901.57</v>
      </c>
      <c r="K16" s="74">
        <f t="shared" si="1"/>
        <v>38704.490000000005</v>
      </c>
      <c r="L16" s="74">
        <f t="shared" si="1"/>
        <v>9117.7999999999993</v>
      </c>
      <c r="M16" s="74">
        <f t="shared" si="1"/>
        <v>16072.84</v>
      </c>
      <c r="N16" s="74">
        <f t="shared" si="1"/>
        <v>40352</v>
      </c>
      <c r="O16" s="74">
        <f t="shared" si="1"/>
        <v>66346.789999999994</v>
      </c>
      <c r="P16" s="74">
        <f t="shared" si="1"/>
        <v>19435.580000000002</v>
      </c>
      <c r="Q16" s="74">
        <f t="shared" si="1"/>
        <v>12028.580000000002</v>
      </c>
      <c r="R16" s="74">
        <f t="shared" si="1"/>
        <v>34478.400000000001</v>
      </c>
      <c r="S16" s="74">
        <f t="shared" si="0"/>
        <v>823885.44</v>
      </c>
    </row>
    <row r="17" spans="1:21" ht="18.75" customHeight="1" x14ac:dyDescent="0.25">
      <c r="A17" s="55">
        <v>2210</v>
      </c>
      <c r="B17" s="4" t="s">
        <v>2</v>
      </c>
      <c r="C17" s="76">
        <v>1863.21</v>
      </c>
      <c r="D17" s="76">
        <v>2644.58</v>
      </c>
      <c r="E17" s="76">
        <v>1298.56</v>
      </c>
      <c r="F17" s="76">
        <v>644.88</v>
      </c>
      <c r="G17" s="76">
        <v>261.36</v>
      </c>
      <c r="H17" s="76">
        <v>8573</v>
      </c>
      <c r="I17" s="76">
        <v>557.53</v>
      </c>
      <c r="J17" s="76">
        <v>1069.3</v>
      </c>
      <c r="K17" s="76">
        <v>1021.97</v>
      </c>
      <c r="L17" s="76">
        <v>734.55</v>
      </c>
      <c r="M17" s="76">
        <f>427.54+337.01</f>
        <v>764.55</v>
      </c>
      <c r="N17" s="76">
        <v>618</v>
      </c>
      <c r="O17" s="76">
        <v>992.84</v>
      </c>
      <c r="P17" s="76">
        <v>954.06</v>
      </c>
      <c r="Q17" s="76">
        <v>1981.48</v>
      </c>
      <c r="R17" s="76">
        <v>1627.7</v>
      </c>
      <c r="S17" s="74">
        <f t="shared" si="0"/>
        <v>25607.569999999996</v>
      </c>
      <c r="T17" s="18"/>
      <c r="U17" s="14"/>
    </row>
    <row r="18" spans="1:21" ht="21" customHeight="1" x14ac:dyDescent="0.25">
      <c r="A18" s="55">
        <v>2220</v>
      </c>
      <c r="B18" s="4" t="s">
        <v>3</v>
      </c>
      <c r="C18" s="76">
        <f>57049.82+4924.7+29613+2153.2</f>
        <v>93740.719999999987</v>
      </c>
      <c r="D18" s="76">
        <f>42909.42+1597.97+24470.42+2103.03</f>
        <v>71080.84</v>
      </c>
      <c r="E18" s="76">
        <v>33735.620000000003</v>
      </c>
      <c r="F18" s="76">
        <f>31393.11+3063.41+6907.05+520.35</f>
        <v>41883.920000000006</v>
      </c>
      <c r="G18" s="76">
        <f>554.19+5176.45+416.75</f>
        <v>6147.3899999999994</v>
      </c>
      <c r="H18" s="76">
        <v>65347</v>
      </c>
      <c r="I18" s="76">
        <f>8979.44+347.22+2447.12+512.5</f>
        <v>12286.279999999999</v>
      </c>
      <c r="J18" s="76">
        <v>59062.41</v>
      </c>
      <c r="K18" s="76">
        <f>12560.81+926.85+4387.22+527.14</f>
        <v>18402.02</v>
      </c>
      <c r="L18" s="76">
        <f>302.16+5235.53+254.41</f>
        <v>5792.0999999999995</v>
      </c>
      <c r="M18" s="76">
        <f>7800.45+503.21+2997.13+274.41</f>
        <v>11575.2</v>
      </c>
      <c r="N18" s="76">
        <v>8927</v>
      </c>
      <c r="O18" s="76">
        <f>40744.4+2930.26+11892.93+717.85</f>
        <v>56285.440000000002</v>
      </c>
      <c r="P18" s="76">
        <f>843.08+9785.26+777.02</f>
        <v>11405.36</v>
      </c>
      <c r="Q18" s="76">
        <f>1120.56+5288.06+227.54</f>
        <v>6636.1600000000008</v>
      </c>
      <c r="R18" s="76">
        <f>34011.94+8540.96-12411</f>
        <v>30141.9</v>
      </c>
      <c r="S18" s="74">
        <f t="shared" si="0"/>
        <v>532449.36</v>
      </c>
      <c r="T18" s="18"/>
      <c r="U18" s="14"/>
    </row>
    <row r="19" spans="1:21" ht="27" customHeight="1" x14ac:dyDescent="0.25">
      <c r="A19" s="55">
        <v>2230</v>
      </c>
      <c r="B19" s="4" t="s">
        <v>4</v>
      </c>
      <c r="C19" s="76">
        <f>572.6+2008.18+1600.8</f>
        <v>4181.58</v>
      </c>
      <c r="D19" s="76">
        <f>30+1216.46+70+2497.31+2889.3</f>
        <v>6703.07</v>
      </c>
      <c r="E19" s="76">
        <v>288.87</v>
      </c>
      <c r="F19" s="76">
        <f>202.51+330+280.4+268.79</f>
        <v>1081.7</v>
      </c>
      <c r="G19" s="76">
        <f>206+385.31</f>
        <v>591.30999999999995</v>
      </c>
      <c r="H19" s="76">
        <v>12339</v>
      </c>
      <c r="I19" s="76">
        <f>9732.6+250.47+312</f>
        <v>10295.07</v>
      </c>
      <c r="J19" s="76">
        <v>5251.71</v>
      </c>
      <c r="K19" s="76">
        <f>265+15+319.95</f>
        <v>599.95000000000005</v>
      </c>
      <c r="L19" s="76">
        <f>50+51.2+573.5</f>
        <v>674.7</v>
      </c>
      <c r="M19" s="76">
        <f>450+106+634.75</f>
        <v>1190.75</v>
      </c>
      <c r="N19" s="76">
        <v>5372</v>
      </c>
      <c r="O19" s="76">
        <f>400+251+556.03+694.92</f>
        <v>1901.9499999999998</v>
      </c>
      <c r="P19" s="76">
        <f>166+446.2</f>
        <v>612.20000000000005</v>
      </c>
      <c r="Q19" s="76">
        <f>804+503.39+764.13</f>
        <v>2071.52</v>
      </c>
      <c r="R19" s="76">
        <f>847+99+228.86</f>
        <v>1174.8600000000001</v>
      </c>
      <c r="S19" s="74">
        <f t="shared" si="0"/>
        <v>54330.239999999998</v>
      </c>
      <c r="T19" s="18"/>
      <c r="U19" s="14"/>
    </row>
    <row r="20" spans="1:21" ht="27" customHeight="1" x14ac:dyDescent="0.25">
      <c r="A20" s="55">
        <v>2240</v>
      </c>
      <c r="B20" s="4" t="s">
        <v>48</v>
      </c>
      <c r="C20" s="76">
        <f>28574.26+12709.34+4705.32+90</f>
        <v>46078.92</v>
      </c>
      <c r="D20" s="76">
        <f>958.41+2446.47+6943.9+3114.94</f>
        <v>13463.72</v>
      </c>
      <c r="E20" s="76">
        <v>1007.84</v>
      </c>
      <c r="F20" s="76">
        <f>2538.64+2230.33+580.18</f>
        <v>5349.15</v>
      </c>
      <c r="G20" s="76">
        <f>865.83+6360.77+6144.43</f>
        <v>13371.03</v>
      </c>
      <c r="H20" s="76">
        <v>33978</v>
      </c>
      <c r="I20" s="76">
        <f>3151.49+241.48</f>
        <v>3392.97</v>
      </c>
      <c r="J20" s="76">
        <v>11375.85</v>
      </c>
      <c r="K20" s="76">
        <f>919.4+14252.56+1960.06+225</f>
        <v>17357.02</v>
      </c>
      <c r="L20" s="76">
        <f>1003.59+522.37+8.04</f>
        <v>1534</v>
      </c>
      <c r="M20" s="76">
        <f>611.1+176.38+335.07+1071.31</f>
        <v>2193.8599999999997</v>
      </c>
      <c r="N20" s="76">
        <v>22249</v>
      </c>
      <c r="O20" s="76">
        <f>2270.02+247.05+524.28+2354.51+743.96</f>
        <v>6139.8200000000006</v>
      </c>
      <c r="P20" s="76">
        <f>3578.38+202+2298.9+36.2</f>
        <v>6115.4800000000005</v>
      </c>
      <c r="Q20" s="76">
        <v>1030.02</v>
      </c>
      <c r="R20" s="76">
        <f>478.67+389.56+247.21+418.5</f>
        <v>1533.94</v>
      </c>
      <c r="S20" s="74">
        <f t="shared" si="0"/>
        <v>186170.62000000002</v>
      </c>
      <c r="T20" s="18"/>
      <c r="U20" s="14"/>
    </row>
    <row r="21" spans="1:21" ht="17.25" customHeight="1" x14ac:dyDescent="0.25">
      <c r="A21" s="55">
        <v>2250</v>
      </c>
      <c r="B21" s="4" t="s">
        <v>5</v>
      </c>
      <c r="C21" s="76"/>
      <c r="D21" s="76"/>
      <c r="E21" s="76">
        <v>893.18</v>
      </c>
      <c r="F21" s="76">
        <v>526.35</v>
      </c>
      <c r="G21" s="76">
        <v>379.98</v>
      </c>
      <c r="H21" s="76">
        <v>1986</v>
      </c>
      <c r="I21" s="76">
        <v>737.44</v>
      </c>
      <c r="J21" s="76">
        <v>8045</v>
      </c>
      <c r="K21" s="76">
        <v>1214.72</v>
      </c>
      <c r="L21" s="76"/>
      <c r="M21" s="76">
        <v>348.48</v>
      </c>
      <c r="N21" s="76">
        <v>1911</v>
      </c>
      <c r="O21" s="76">
        <v>161.46</v>
      </c>
      <c r="P21" s="76">
        <v>348.48</v>
      </c>
      <c r="Q21" s="76"/>
      <c r="R21" s="76"/>
      <c r="S21" s="74">
        <f t="shared" si="0"/>
        <v>16552.09</v>
      </c>
      <c r="T21" s="18"/>
      <c r="U21" s="14"/>
    </row>
    <row r="22" spans="1:21" ht="27" customHeight="1" x14ac:dyDescent="0.25">
      <c r="A22" s="55">
        <v>2260</v>
      </c>
      <c r="B22" s="4" t="s">
        <v>49</v>
      </c>
      <c r="C22" s="76">
        <v>2655.37</v>
      </c>
      <c r="D22" s="76">
        <v>390.68</v>
      </c>
      <c r="E22" s="76">
        <v>56.99</v>
      </c>
      <c r="F22" s="76">
        <v>0</v>
      </c>
      <c r="G22" s="76">
        <f>103.05+96.8</f>
        <v>199.85</v>
      </c>
      <c r="H22" s="76">
        <v>50</v>
      </c>
      <c r="I22" s="76">
        <f>2342.2+42.23</f>
        <v>2384.4299999999998</v>
      </c>
      <c r="J22" s="76">
        <v>97.3</v>
      </c>
      <c r="K22" s="76">
        <v>108.81</v>
      </c>
      <c r="L22" s="76">
        <f>321.95+60.5</f>
        <v>382.45</v>
      </c>
      <c r="M22" s="76"/>
      <c r="N22" s="76">
        <v>1275</v>
      </c>
      <c r="O22" s="76">
        <v>865.28</v>
      </c>
      <c r="P22" s="76"/>
      <c r="Q22" s="76">
        <v>309.39999999999998</v>
      </c>
      <c r="R22" s="76"/>
      <c r="S22" s="74">
        <f t="shared" si="0"/>
        <v>8775.56</v>
      </c>
      <c r="T22" s="18"/>
      <c r="U22" s="14"/>
    </row>
    <row r="23" spans="1:21" ht="27" customHeight="1" x14ac:dyDescent="0.25">
      <c r="A23" s="34">
        <v>2300</v>
      </c>
      <c r="B23" s="21" t="s">
        <v>50</v>
      </c>
      <c r="C23" s="74">
        <f t="shared" ref="C23:R23" si="3">SUM(C24:C29)</f>
        <v>75163.33</v>
      </c>
      <c r="D23" s="74">
        <f t="shared" si="3"/>
        <v>41261.839999999997</v>
      </c>
      <c r="E23" s="74">
        <f t="shared" si="3"/>
        <v>3766.65</v>
      </c>
      <c r="F23" s="74">
        <f t="shared" si="3"/>
        <v>10809.81</v>
      </c>
      <c r="G23" s="74">
        <f t="shared" si="3"/>
        <v>7682.28</v>
      </c>
      <c r="H23" s="74">
        <f t="shared" si="3"/>
        <v>30860</v>
      </c>
      <c r="I23" s="74">
        <f t="shared" si="3"/>
        <v>5796.25</v>
      </c>
      <c r="J23" s="74">
        <f t="shared" si="3"/>
        <v>19681.89</v>
      </c>
      <c r="K23" s="74">
        <f t="shared" si="3"/>
        <v>10093.880000000001</v>
      </c>
      <c r="L23" s="74">
        <f t="shared" si="3"/>
        <v>3618.0599999999995</v>
      </c>
      <c r="M23" s="74">
        <f t="shared" si="3"/>
        <v>5849.92</v>
      </c>
      <c r="N23" s="74">
        <f t="shared" si="3"/>
        <v>53288</v>
      </c>
      <c r="O23" s="74">
        <f t="shared" si="3"/>
        <v>24214.43</v>
      </c>
      <c r="P23" s="74">
        <f t="shared" si="3"/>
        <v>38343.870000000003</v>
      </c>
      <c r="Q23" s="74">
        <f t="shared" si="3"/>
        <v>28891.91</v>
      </c>
      <c r="R23" s="74">
        <f t="shared" si="3"/>
        <v>3845.33</v>
      </c>
      <c r="S23" s="74">
        <f t="shared" si="0"/>
        <v>363167.45</v>
      </c>
      <c r="T23" s="18"/>
      <c r="U23" s="14"/>
    </row>
    <row r="24" spans="1:21" ht="15.75" customHeight="1" x14ac:dyDescent="0.25">
      <c r="A24" s="23">
        <v>2310</v>
      </c>
      <c r="B24" s="4" t="s">
        <v>51</v>
      </c>
      <c r="C24" s="76">
        <v>61399.839999999997</v>
      </c>
      <c r="D24" s="76">
        <v>24380.53</v>
      </c>
      <c r="E24" s="76">
        <v>1984.99</v>
      </c>
      <c r="F24" s="76">
        <v>6451.1399999999994</v>
      </c>
      <c r="G24" s="76">
        <v>3135.57</v>
      </c>
      <c r="H24" s="76">
        <v>17025</v>
      </c>
      <c r="I24" s="76">
        <v>2206.4</v>
      </c>
      <c r="J24" s="76">
        <v>4770.26</v>
      </c>
      <c r="K24" s="76">
        <v>5819.3799999999992</v>
      </c>
      <c r="L24" s="76">
        <v>1444.4199999999998</v>
      </c>
      <c r="M24" s="76">
        <v>1484.8400000000001</v>
      </c>
      <c r="N24" s="76">
        <v>9963</v>
      </c>
      <c r="O24" s="76">
        <v>9106.27</v>
      </c>
      <c r="P24" s="76">
        <v>9026.48</v>
      </c>
      <c r="Q24" s="76">
        <v>9689.58</v>
      </c>
      <c r="R24" s="76">
        <v>1622.29</v>
      </c>
      <c r="S24" s="74">
        <f t="shared" si="0"/>
        <v>169509.99000000002</v>
      </c>
      <c r="T24" s="18"/>
      <c r="U24" s="14"/>
    </row>
    <row r="25" spans="1:21" ht="27.75" customHeight="1" x14ac:dyDescent="0.25">
      <c r="A25" s="23">
        <v>2320</v>
      </c>
      <c r="B25" s="4" t="s">
        <v>6</v>
      </c>
      <c r="C25" s="76"/>
      <c r="D25" s="76"/>
      <c r="E25" s="76">
        <v>0</v>
      </c>
      <c r="F25" s="76">
        <v>0</v>
      </c>
      <c r="G25" s="76">
        <v>2498.65</v>
      </c>
      <c r="H25" s="76"/>
      <c r="I25" s="76">
        <v>138.16</v>
      </c>
      <c r="J25" s="76">
        <v>8265.85</v>
      </c>
      <c r="K25" s="76"/>
      <c r="L25" s="76">
        <v>636.86</v>
      </c>
      <c r="M25" s="76"/>
      <c r="N25" s="76">
        <v>18693</v>
      </c>
      <c r="O25" s="76">
        <v>4.49</v>
      </c>
      <c r="P25" s="76">
        <v>23608.75</v>
      </c>
      <c r="Q25" s="76">
        <v>14921.7</v>
      </c>
      <c r="R25" s="76"/>
      <c r="S25" s="74">
        <f t="shared" si="0"/>
        <v>68767.459999999992</v>
      </c>
      <c r="T25" s="18"/>
      <c r="U25" s="14"/>
    </row>
    <row r="26" spans="1:21" ht="27" customHeight="1" x14ac:dyDescent="0.25">
      <c r="A26" s="23">
        <v>2340</v>
      </c>
      <c r="B26" s="4" t="s">
        <v>52</v>
      </c>
      <c r="C26" s="76">
        <v>96.66</v>
      </c>
      <c r="D26" s="76">
        <v>50.25</v>
      </c>
      <c r="E26" s="76"/>
      <c r="F26" s="76">
        <v>15.12</v>
      </c>
      <c r="G26" s="76"/>
      <c r="H26" s="76">
        <v>28</v>
      </c>
      <c r="I26" s="76">
        <v>28.35</v>
      </c>
      <c r="J26" s="76"/>
      <c r="K26" s="76"/>
      <c r="L26" s="76"/>
      <c r="M26" s="76">
        <v>18.96</v>
      </c>
      <c r="N26" s="76"/>
      <c r="O26" s="76">
        <v>340.19</v>
      </c>
      <c r="P26" s="76"/>
      <c r="Q26" s="76"/>
      <c r="R26" s="76"/>
      <c r="S26" s="74">
        <f t="shared" si="0"/>
        <v>577.53</v>
      </c>
      <c r="T26" s="18"/>
      <c r="U26" s="14"/>
    </row>
    <row r="27" spans="1:21" ht="20.25" customHeight="1" x14ac:dyDescent="0.25">
      <c r="A27" s="23">
        <v>2350</v>
      </c>
      <c r="B27" s="4" t="s">
        <v>7</v>
      </c>
      <c r="C27" s="76">
        <v>11396.4</v>
      </c>
      <c r="D27" s="76">
        <v>10437.379999999999</v>
      </c>
      <c r="E27" s="76">
        <v>1532.06</v>
      </c>
      <c r="F27" s="76">
        <v>4087.86</v>
      </c>
      <c r="G27" s="76">
        <v>2034.24</v>
      </c>
      <c r="H27" s="76">
        <v>10550</v>
      </c>
      <c r="I27" s="76">
        <v>1971.92</v>
      </c>
      <c r="J27" s="76">
        <v>5708.43</v>
      </c>
      <c r="K27" s="76">
        <v>3750.46</v>
      </c>
      <c r="L27" s="76">
        <v>1472.31</v>
      </c>
      <c r="M27" s="76">
        <v>4185.99</v>
      </c>
      <c r="N27" s="76">
        <v>21211</v>
      </c>
      <c r="O27" s="76">
        <v>9929.43</v>
      </c>
      <c r="P27" s="76">
        <v>5332.21</v>
      </c>
      <c r="Q27" s="76">
        <v>3727.27</v>
      </c>
      <c r="R27" s="76">
        <v>2169.63</v>
      </c>
      <c r="S27" s="74">
        <f t="shared" si="0"/>
        <v>99496.59</v>
      </c>
      <c r="T27" s="18"/>
      <c r="U27" s="14"/>
    </row>
    <row r="28" spans="1:21" ht="35.25" customHeight="1" x14ac:dyDescent="0.25">
      <c r="A28" s="23">
        <v>2360</v>
      </c>
      <c r="B28" s="4" t="s">
        <v>53</v>
      </c>
      <c r="C28" s="76">
        <v>144.46</v>
      </c>
      <c r="D28" s="76">
        <v>3720.41</v>
      </c>
      <c r="E28" s="76">
        <v>0</v>
      </c>
      <c r="F28" s="76"/>
      <c r="G28" s="76">
        <v>13.65</v>
      </c>
      <c r="H28" s="76">
        <v>1138</v>
      </c>
      <c r="I28" s="76"/>
      <c r="J28" s="76"/>
      <c r="K28" s="76"/>
      <c r="L28" s="76"/>
      <c r="M28" s="76"/>
      <c r="N28" s="76">
        <v>800</v>
      </c>
      <c r="O28" s="76">
        <v>3828.47</v>
      </c>
      <c r="P28" s="76"/>
      <c r="Q28" s="76"/>
      <c r="R28" s="76"/>
      <c r="S28" s="74">
        <f t="shared" si="0"/>
        <v>9644.99</v>
      </c>
      <c r="T28" s="18"/>
      <c r="U28" s="14"/>
    </row>
    <row r="29" spans="1:21" ht="20.25" customHeight="1" x14ac:dyDescent="0.25">
      <c r="A29" s="23">
        <v>2370</v>
      </c>
      <c r="B29" s="20" t="s">
        <v>33</v>
      </c>
      <c r="C29" s="76">
        <v>2125.9699999999993</v>
      </c>
      <c r="D29" s="76">
        <v>2673.2700000000004</v>
      </c>
      <c r="E29" s="77">
        <v>249.60000000000002</v>
      </c>
      <c r="F29" s="77">
        <v>255.69000000000005</v>
      </c>
      <c r="G29" s="77">
        <v>0.16999999999995907</v>
      </c>
      <c r="H29" s="77">
        <v>2119</v>
      </c>
      <c r="I29" s="77">
        <v>1451.42</v>
      </c>
      <c r="J29" s="76">
        <v>937.35</v>
      </c>
      <c r="K29" s="77">
        <v>524.04</v>
      </c>
      <c r="L29" s="77">
        <v>64.470000000000027</v>
      </c>
      <c r="M29" s="77">
        <v>160.12999999999988</v>
      </c>
      <c r="N29" s="77">
        <v>2621</v>
      </c>
      <c r="O29" s="77">
        <v>1005.5799999999999</v>
      </c>
      <c r="P29" s="77">
        <v>376.43000000000006</v>
      </c>
      <c r="Q29" s="77">
        <v>553.36000000000013</v>
      </c>
      <c r="R29" s="77">
        <v>53.409999999999968</v>
      </c>
      <c r="S29" s="74">
        <f t="shared" si="0"/>
        <v>15170.890000000001</v>
      </c>
      <c r="T29" s="18"/>
      <c r="U29" s="14"/>
    </row>
    <row r="30" spans="1:21" ht="21.75" customHeight="1" x14ac:dyDescent="0.25">
      <c r="A30" s="35">
        <v>2400</v>
      </c>
      <c r="B30" s="21" t="s">
        <v>8</v>
      </c>
      <c r="C30" s="74">
        <v>634.63</v>
      </c>
      <c r="D30" s="74">
        <v>12</v>
      </c>
      <c r="E30" s="74">
        <v>0</v>
      </c>
      <c r="F30" s="74"/>
      <c r="G30" s="74"/>
      <c r="H30" s="74"/>
      <c r="I30" s="74">
        <v>159.99</v>
      </c>
      <c r="J30" s="75">
        <v>123.49</v>
      </c>
      <c r="K30" s="74"/>
      <c r="L30" s="74"/>
      <c r="M30" s="74"/>
      <c r="N30" s="74">
        <v>205</v>
      </c>
      <c r="O30" s="74"/>
      <c r="P30" s="74">
        <v>200.6</v>
      </c>
      <c r="Q30" s="74">
        <v>131.61000000000001</v>
      </c>
      <c r="R30" s="74"/>
      <c r="S30" s="74">
        <f t="shared" si="0"/>
        <v>1467.32</v>
      </c>
      <c r="T30" s="18"/>
    </row>
    <row r="31" spans="1:21" ht="18.75" customHeight="1" x14ac:dyDescent="0.25">
      <c r="A31" s="35">
        <v>5233</v>
      </c>
      <c r="B31" s="62" t="s">
        <v>34</v>
      </c>
      <c r="C31" s="74">
        <v>2395.3799999999992</v>
      </c>
      <c r="D31" s="74">
        <v>3399.01</v>
      </c>
      <c r="E31" s="74">
        <v>1511.0900000000001</v>
      </c>
      <c r="F31" s="74">
        <v>1350.3199999999997</v>
      </c>
      <c r="G31" s="74">
        <v>0</v>
      </c>
      <c r="H31" s="74"/>
      <c r="I31" s="74">
        <v>2483.1999999999998</v>
      </c>
      <c r="J31" s="75">
        <v>731.88</v>
      </c>
      <c r="K31" s="74">
        <v>0</v>
      </c>
      <c r="L31" s="74">
        <v>640.09000000000015</v>
      </c>
      <c r="M31" s="74">
        <v>1370.69</v>
      </c>
      <c r="N31" s="74">
        <v>3464</v>
      </c>
      <c r="O31" s="74">
        <v>2427.1899999999996</v>
      </c>
      <c r="P31" s="74">
        <v>1087.96</v>
      </c>
      <c r="Q31" s="74">
        <v>2587.6400000000003</v>
      </c>
      <c r="R31" s="74">
        <v>356.32999999999993</v>
      </c>
      <c r="S31" s="74">
        <f t="shared" si="0"/>
        <v>23804.780000000002</v>
      </c>
      <c r="T31" s="18"/>
    </row>
    <row r="32" spans="1:21" ht="18" customHeight="1" x14ac:dyDescent="0.25">
      <c r="A32" s="82" t="s">
        <v>9</v>
      </c>
      <c r="B32" s="83"/>
      <c r="C32" s="78">
        <f t="shared" ref="C32:R32" si="4">C13+C14+C15+C16+C23+C30+C31</f>
        <v>503313.2</v>
      </c>
      <c r="D32" s="78">
        <f t="shared" si="4"/>
        <v>278410.04000000004</v>
      </c>
      <c r="E32" s="78">
        <f t="shared" si="4"/>
        <v>126387.93999999999</v>
      </c>
      <c r="F32" s="78">
        <f t="shared" si="4"/>
        <v>139700.96000000002</v>
      </c>
      <c r="G32" s="78">
        <f t="shared" si="4"/>
        <v>80863.839999999997</v>
      </c>
      <c r="H32" s="78">
        <f t="shared" si="4"/>
        <v>465661</v>
      </c>
      <c r="I32" s="78">
        <f t="shared" si="4"/>
        <v>99709.72</v>
      </c>
      <c r="J32" s="78">
        <f t="shared" si="4"/>
        <v>219059.83000000002</v>
      </c>
      <c r="K32" s="78">
        <f t="shared" si="4"/>
        <v>133126.23000000001</v>
      </c>
      <c r="L32" s="78">
        <f t="shared" si="4"/>
        <v>69656.499999999985</v>
      </c>
      <c r="M32" s="78">
        <f t="shared" si="4"/>
        <v>73069.81</v>
      </c>
      <c r="N32" s="78">
        <f t="shared" si="4"/>
        <v>281251</v>
      </c>
      <c r="O32" s="78">
        <f t="shared" si="4"/>
        <v>183496.15999999997</v>
      </c>
      <c r="P32" s="78">
        <f t="shared" si="4"/>
        <v>136146.60999999999</v>
      </c>
      <c r="Q32" s="78">
        <f t="shared" si="4"/>
        <v>122459.22</v>
      </c>
      <c r="R32" s="78">
        <f t="shared" si="4"/>
        <v>97086.83</v>
      </c>
      <c r="S32" s="78">
        <f t="shared" si="0"/>
        <v>3009398.8899999997</v>
      </c>
    </row>
    <row r="33" spans="1:20" ht="24.75" customHeight="1" x14ac:dyDescent="0.25">
      <c r="A33" s="82" t="s">
        <v>30</v>
      </c>
      <c r="B33" s="84"/>
      <c r="C33" s="79">
        <f t="shared" ref="C33:S33" si="5">C32/C11/12</f>
        <v>43.062388774811772</v>
      </c>
      <c r="D33" s="79">
        <f t="shared" si="5"/>
        <v>89.578519948519954</v>
      </c>
      <c r="E33" s="79">
        <f t="shared" si="5"/>
        <v>162.03582051282049</v>
      </c>
      <c r="F33" s="79">
        <f t="shared" si="5"/>
        <v>123.84836879432625</v>
      </c>
      <c r="G33" s="79">
        <f t="shared" si="5"/>
        <v>70.194305555555545</v>
      </c>
      <c r="H33" s="79">
        <f t="shared" si="5"/>
        <v>142.14316239316238</v>
      </c>
      <c r="I33" s="79">
        <f t="shared" si="5"/>
        <v>110.78857777777777</v>
      </c>
      <c r="J33" s="79">
        <f t="shared" si="5"/>
        <v>89.926038587848936</v>
      </c>
      <c r="K33" s="79">
        <f t="shared" si="5"/>
        <v>109.84012376237625</v>
      </c>
      <c r="L33" s="79">
        <f t="shared" si="5"/>
        <v>116.09416666666664</v>
      </c>
      <c r="M33" s="79">
        <f t="shared" si="5"/>
        <v>90.882848258706474</v>
      </c>
      <c r="N33" s="79">
        <f t="shared" si="5"/>
        <v>137.06189083820664</v>
      </c>
      <c r="O33" s="79">
        <f t="shared" si="5"/>
        <v>104.02276643990928</v>
      </c>
      <c r="P33" s="79">
        <f t="shared" si="5"/>
        <v>124.67638278388277</v>
      </c>
      <c r="Q33" s="79">
        <f t="shared" si="5"/>
        <v>147.89760869565217</v>
      </c>
      <c r="R33" s="79">
        <f t="shared" si="5"/>
        <v>299.6507098765432</v>
      </c>
      <c r="S33" s="79">
        <f t="shared" si="5"/>
        <v>90.797697622495775</v>
      </c>
      <c r="T33" s="18"/>
    </row>
    <row r="34" spans="1:20" x14ac:dyDescent="0.2">
      <c r="B34" s="28"/>
      <c r="E34" s="5"/>
      <c r="F34" s="6"/>
    </row>
    <row r="35" spans="1:20" hidden="1" x14ac:dyDescent="0.2">
      <c r="B35" s="67" t="s">
        <v>72</v>
      </c>
      <c r="E35" s="5"/>
      <c r="F35" s="6"/>
    </row>
    <row r="36" spans="1:20" hidden="1" x14ac:dyDescent="0.2">
      <c r="B36" s="28" t="s">
        <v>73</v>
      </c>
      <c r="C36" s="61">
        <v>543226</v>
      </c>
      <c r="D36" s="61">
        <v>244909</v>
      </c>
      <c r="E36" s="61">
        <v>128089</v>
      </c>
      <c r="F36" s="61">
        <v>151595</v>
      </c>
      <c r="G36" s="61">
        <v>84751</v>
      </c>
      <c r="H36" s="61"/>
      <c r="I36" s="61">
        <v>122918</v>
      </c>
      <c r="J36" s="61"/>
      <c r="K36" s="61">
        <v>139679</v>
      </c>
      <c r="L36" s="61">
        <v>60387</v>
      </c>
      <c r="M36" s="61">
        <v>69535</v>
      </c>
      <c r="N36" s="61"/>
      <c r="O36" s="61">
        <v>195559</v>
      </c>
      <c r="P36" s="61">
        <v>142767</v>
      </c>
      <c r="Q36" s="61">
        <v>111014</v>
      </c>
      <c r="R36" s="61">
        <v>96671</v>
      </c>
      <c r="S36" s="61"/>
    </row>
    <row r="37" spans="1:20" hidden="1" x14ac:dyDescent="0.2">
      <c r="B37" s="28" t="s">
        <v>71</v>
      </c>
      <c r="C37" s="61">
        <v>971</v>
      </c>
      <c r="D37" s="61">
        <v>267</v>
      </c>
      <c r="E37" s="61">
        <v>68</v>
      </c>
      <c r="F37" s="61">
        <v>97</v>
      </c>
      <c r="G37" s="61">
        <v>96</v>
      </c>
      <c r="H37" s="61"/>
      <c r="I37" s="61">
        <v>75</v>
      </c>
      <c r="J37" s="61"/>
      <c r="K37" s="61">
        <v>102</v>
      </c>
      <c r="L37" s="61">
        <v>51</v>
      </c>
      <c r="M37" s="61">
        <v>62</v>
      </c>
      <c r="N37" s="61"/>
      <c r="O37" s="61">
        <v>153</v>
      </c>
      <c r="P37" s="61">
        <v>92</v>
      </c>
      <c r="Q37" s="61">
        <v>59</v>
      </c>
      <c r="R37" s="61">
        <v>36</v>
      </c>
      <c r="S37" s="61"/>
    </row>
    <row r="38" spans="1:20" ht="12.75" hidden="1" customHeight="1" x14ac:dyDescent="0.2">
      <c r="A38" s="65"/>
      <c r="B38" s="66" t="s">
        <v>74</v>
      </c>
      <c r="C38" s="61">
        <v>46.62</v>
      </c>
      <c r="D38" s="61">
        <v>76.44</v>
      </c>
      <c r="E38" s="61">
        <v>156.97</v>
      </c>
      <c r="F38" s="61">
        <v>130.24</v>
      </c>
      <c r="G38" s="61">
        <v>73.569999999999993</v>
      </c>
      <c r="H38" s="61"/>
      <c r="I38" s="61">
        <v>136.58000000000001</v>
      </c>
      <c r="J38" s="61"/>
      <c r="K38" s="61">
        <v>114.11</v>
      </c>
      <c r="L38" s="61">
        <v>98.67</v>
      </c>
      <c r="M38" s="61">
        <v>93.46</v>
      </c>
      <c r="N38" s="61"/>
      <c r="O38" s="61">
        <v>106.51</v>
      </c>
      <c r="P38" s="61">
        <v>129.32</v>
      </c>
      <c r="Q38" s="61">
        <v>156.80000000000001</v>
      </c>
      <c r="R38" s="61">
        <v>223.78</v>
      </c>
      <c r="S38" s="61"/>
    </row>
    <row r="39" spans="1:20" x14ac:dyDescent="0.2">
      <c r="B39" s="2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20" x14ac:dyDescent="0.2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20" x14ac:dyDescent="0.2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20" x14ac:dyDescent="0.2">
      <c r="B42" s="6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64"/>
    </row>
    <row r="46" spans="1:20" x14ac:dyDescent="0.2">
      <c r="I46" s="14"/>
      <c r="O46" s="14"/>
    </row>
    <row r="47" spans="1:20" x14ac:dyDescent="0.2">
      <c r="I47" s="14"/>
      <c r="O47" s="14"/>
    </row>
  </sheetData>
  <mergeCells count="2">
    <mergeCell ref="A32:B32"/>
    <mergeCell ref="A33:B33"/>
  </mergeCells>
  <phoneticPr fontId="3" type="noConversion"/>
  <pageMargins left="0.25" right="0.25" top="0.75" bottom="0.75" header="0.3" footer="0.3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W42"/>
  <sheetViews>
    <sheetView workbookViewId="0">
      <selection activeCell="D1" sqref="D1:F4"/>
    </sheetView>
  </sheetViews>
  <sheetFormatPr defaultRowHeight="12.75" x14ac:dyDescent="0.2"/>
  <cols>
    <col min="1" max="1" width="12.28515625" style="19" customWidth="1"/>
    <col min="2" max="2" width="44.7109375" customWidth="1"/>
    <col min="3" max="3" width="11.85546875" customWidth="1"/>
    <col min="4" max="4" width="11.42578125" customWidth="1"/>
    <col min="5" max="5" width="11.7109375" customWidth="1"/>
    <col min="6" max="6" width="10.5703125" customWidth="1"/>
    <col min="7" max="7" width="9.140625" customWidth="1"/>
    <col min="8" max="8" width="10.42578125" customWidth="1"/>
    <col min="9" max="9" width="13.140625" customWidth="1"/>
    <col min="10" max="10" width="9.140625" customWidth="1"/>
    <col min="11" max="11" width="10.85546875" customWidth="1"/>
    <col min="12" max="12" width="10.28515625" customWidth="1"/>
    <col min="13" max="13" width="10" customWidth="1"/>
    <col min="14" max="14" width="9.140625" customWidth="1"/>
    <col min="15" max="15" width="10.140625" customWidth="1"/>
    <col min="16" max="16" width="14.28515625" customWidth="1"/>
    <col min="17" max="17" width="10.5703125" customWidth="1"/>
    <col min="18" max="18" width="11.28515625" customWidth="1"/>
    <col min="19" max="19" width="9.140625" customWidth="1"/>
    <col min="20" max="20" width="12.140625" style="13" customWidth="1"/>
    <col min="21" max="25" width="9.140625" customWidth="1"/>
  </cols>
  <sheetData>
    <row r="1" spans="1:23" x14ac:dyDescent="0.2">
      <c r="D1" t="s">
        <v>77</v>
      </c>
    </row>
    <row r="2" spans="1:23" x14ac:dyDescent="0.2">
      <c r="D2" s="88" t="s">
        <v>78</v>
      </c>
    </row>
    <row r="3" spans="1:23" x14ac:dyDescent="0.2">
      <c r="D3" s="88" t="s">
        <v>79</v>
      </c>
    </row>
    <row r="4" spans="1:23" x14ac:dyDescent="0.2">
      <c r="D4" s="88" t="s">
        <v>80</v>
      </c>
    </row>
    <row r="7" spans="1:23" ht="15" x14ac:dyDescent="0.2">
      <c r="B7" s="7" t="s">
        <v>59</v>
      </c>
    </row>
    <row r="8" spans="1:23" x14ac:dyDescent="0.2">
      <c r="B8" s="3" t="s">
        <v>60</v>
      </c>
    </row>
    <row r="9" spans="1:23" x14ac:dyDescent="0.2">
      <c r="B9" s="3"/>
    </row>
    <row r="10" spans="1:23" x14ac:dyDescent="0.2">
      <c r="A10" s="54"/>
      <c r="B10" s="3"/>
      <c r="C10" s="44"/>
      <c r="D10" s="32"/>
      <c r="N10" s="47"/>
      <c r="O10" s="47"/>
      <c r="P10" s="47"/>
      <c r="Q10" s="47"/>
      <c r="R10" s="47"/>
      <c r="S10" s="47"/>
    </row>
    <row r="11" spans="1:23" s="19" customFormat="1" ht="63.75" customHeight="1" x14ac:dyDescent="0.2">
      <c r="A11" s="45" t="s">
        <v>1</v>
      </c>
      <c r="B11" s="46" t="s">
        <v>0</v>
      </c>
      <c r="C11" s="24" t="s">
        <v>22</v>
      </c>
      <c r="D11" s="24" t="s">
        <v>23</v>
      </c>
      <c r="E11" s="24" t="s">
        <v>24</v>
      </c>
      <c r="F11" s="24" t="s">
        <v>25</v>
      </c>
      <c r="G11" s="24" t="s">
        <v>12</v>
      </c>
      <c r="H11" s="24" t="s">
        <v>26</v>
      </c>
      <c r="I11" s="24" t="s">
        <v>64</v>
      </c>
      <c r="J11" s="24" t="s">
        <v>27</v>
      </c>
      <c r="K11" s="37" t="s">
        <v>66</v>
      </c>
      <c r="L11" s="24" t="s">
        <v>28</v>
      </c>
      <c r="M11" s="24" t="s">
        <v>16</v>
      </c>
      <c r="N11" s="24" t="s">
        <v>17</v>
      </c>
      <c r="O11" s="24" t="s">
        <v>69</v>
      </c>
      <c r="P11" s="24" t="s">
        <v>32</v>
      </c>
      <c r="Q11" s="24" t="s">
        <v>29</v>
      </c>
      <c r="R11" s="24" t="s">
        <v>56</v>
      </c>
      <c r="S11" s="24" t="s">
        <v>20</v>
      </c>
      <c r="T11" s="24" t="s">
        <v>21</v>
      </c>
      <c r="V11" s="26"/>
    </row>
    <row r="12" spans="1:23" s="48" customFormat="1" ht="14.25" customHeight="1" x14ac:dyDescent="0.25">
      <c r="A12" s="30"/>
      <c r="B12" s="20" t="s">
        <v>63</v>
      </c>
      <c r="C12" s="39">
        <v>61</v>
      </c>
      <c r="D12" s="60">
        <v>129</v>
      </c>
      <c r="E12" s="60">
        <v>180</v>
      </c>
      <c r="F12" s="60">
        <v>21</v>
      </c>
      <c r="G12" s="60">
        <v>36</v>
      </c>
      <c r="H12" s="60">
        <v>42</v>
      </c>
      <c r="I12" s="60">
        <v>67</v>
      </c>
      <c r="J12" s="60">
        <v>23</v>
      </c>
      <c r="K12" s="60">
        <v>60</v>
      </c>
      <c r="L12" s="60">
        <v>35</v>
      </c>
      <c r="M12" s="60">
        <v>5</v>
      </c>
      <c r="N12" s="60">
        <v>28</v>
      </c>
      <c r="O12" s="60">
        <v>47</v>
      </c>
      <c r="P12" s="60">
        <v>32</v>
      </c>
      <c r="Q12" s="60">
        <f>11+48</f>
        <v>59</v>
      </c>
      <c r="R12" s="60">
        <v>16</v>
      </c>
      <c r="S12" s="60">
        <v>11</v>
      </c>
      <c r="T12" s="31">
        <f>C12+D12+E12+F12+G12+H12+J12+L12+M12+N12+P12+Q12+R12+S12+I12+K12+O12</f>
        <v>852</v>
      </c>
      <c r="V12" s="49"/>
    </row>
    <row r="13" spans="1:23" ht="26.25" customHeight="1" x14ac:dyDescent="0.25">
      <c r="A13" s="86" t="s">
        <v>70</v>
      </c>
      <c r="B13" s="87"/>
      <c r="C13" s="87"/>
      <c r="D13" s="87"/>
      <c r="E13" s="87"/>
      <c r="F13" s="87"/>
      <c r="T13" s="56"/>
      <c r="V13" s="6"/>
    </row>
    <row r="14" spans="1:23" ht="39.75" customHeight="1" x14ac:dyDescent="0.25">
      <c r="A14" s="34">
        <v>1100</v>
      </c>
      <c r="B14" s="2" t="s">
        <v>42</v>
      </c>
      <c r="C14" s="68">
        <v>112126.76999999999</v>
      </c>
      <c r="D14" s="68">
        <v>224578.05</v>
      </c>
      <c r="E14" s="68">
        <v>280604.55</v>
      </c>
      <c r="F14" s="68">
        <v>42459.03</v>
      </c>
      <c r="G14" s="68">
        <v>51972.91</v>
      </c>
      <c r="H14" s="68">
        <v>78479.76999999999</v>
      </c>
      <c r="I14" s="68">
        <v>179330.47999999998</v>
      </c>
      <c r="J14" s="68">
        <v>47029.47</v>
      </c>
      <c r="K14" s="69">
        <v>149736</v>
      </c>
      <c r="L14" s="68">
        <v>80330.13</v>
      </c>
      <c r="M14" s="68">
        <v>15807.27</v>
      </c>
      <c r="N14" s="68">
        <v>61310.369999999995</v>
      </c>
      <c r="O14" s="68">
        <v>108857</v>
      </c>
      <c r="P14" s="68">
        <v>54623.22</v>
      </c>
      <c r="Q14" s="68">
        <v>147425.35999999999</v>
      </c>
      <c r="R14" s="68">
        <v>36671.61</v>
      </c>
      <c r="S14" s="68">
        <v>27831.239999999998</v>
      </c>
      <c r="T14" s="68">
        <f>C14+D14+E14+F14+G14+H14+J14+L14+M14+N14+P14+Q14+R14+S14+I14+K14+O14</f>
        <v>1699173.23</v>
      </c>
      <c r="V14" s="25"/>
      <c r="W14" s="25"/>
    </row>
    <row r="15" spans="1:23" ht="66.75" customHeight="1" x14ac:dyDescent="0.25">
      <c r="A15" s="34">
        <v>1200</v>
      </c>
      <c r="B15" s="2" t="s">
        <v>44</v>
      </c>
      <c r="C15" s="68">
        <v>30452.87</v>
      </c>
      <c r="D15" s="68">
        <v>58415.65</v>
      </c>
      <c r="E15" s="68">
        <v>73273.760000000009</v>
      </c>
      <c r="F15" s="68">
        <v>10939.43</v>
      </c>
      <c r="G15" s="68">
        <v>13189.86</v>
      </c>
      <c r="H15" s="68">
        <v>21896.639999999999</v>
      </c>
      <c r="I15" s="68">
        <v>42808.44</v>
      </c>
      <c r="J15" s="68">
        <v>12092.630000000001</v>
      </c>
      <c r="K15" s="69">
        <v>39794</v>
      </c>
      <c r="L15" s="68">
        <v>20844.919999999998</v>
      </c>
      <c r="M15" s="68">
        <v>4286.22</v>
      </c>
      <c r="N15" s="68">
        <v>15211</v>
      </c>
      <c r="O15" s="68">
        <v>37093</v>
      </c>
      <c r="P15" s="68">
        <v>15205.71</v>
      </c>
      <c r="Q15" s="68">
        <v>39680.1</v>
      </c>
      <c r="R15" s="68">
        <v>9341.2900000000009</v>
      </c>
      <c r="S15" s="68">
        <v>7046.85</v>
      </c>
      <c r="T15" s="68">
        <f t="shared" ref="T15:T32" si="0">C15+D15+E15+F15+G15+H15+J15+L15+M15+N15+P15+Q15+R15+S15+I15+K15+O15</f>
        <v>451572.36999999994</v>
      </c>
      <c r="V15" s="25"/>
      <c r="W15" s="25"/>
    </row>
    <row r="16" spans="1:23" ht="42.75" customHeight="1" x14ac:dyDescent="0.25">
      <c r="A16" s="34">
        <v>2100</v>
      </c>
      <c r="B16" s="2" t="s">
        <v>35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/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8">
        <f t="shared" si="0"/>
        <v>0</v>
      </c>
      <c r="V16" s="6"/>
      <c r="W16" s="25"/>
    </row>
    <row r="17" spans="1:23" ht="28.5" customHeight="1" x14ac:dyDescent="0.25">
      <c r="A17" s="34">
        <v>2200</v>
      </c>
      <c r="B17" s="2" t="s">
        <v>43</v>
      </c>
      <c r="C17" s="69">
        <f>SUM(C18:C23)</f>
        <v>9230.4399999999987</v>
      </c>
      <c r="D17" s="69">
        <f t="shared" ref="D17:S17" si="1">SUM(D18:D23)</f>
        <v>25176.09</v>
      </c>
      <c r="E17" s="69">
        <f>SUM(E18:E23)</f>
        <v>54400.570000000007</v>
      </c>
      <c r="F17" s="69">
        <f t="shared" si="1"/>
        <v>6130.98</v>
      </c>
      <c r="G17" s="69">
        <f t="shared" si="1"/>
        <v>5472.01</v>
      </c>
      <c r="H17" s="69">
        <f t="shared" si="1"/>
        <v>19123.78</v>
      </c>
      <c r="I17" s="69">
        <f t="shared" si="1"/>
        <v>25002.059999999998</v>
      </c>
      <c r="J17" s="69">
        <f t="shared" si="1"/>
        <v>5302.6100000000006</v>
      </c>
      <c r="K17" s="69">
        <f t="shared" si="1"/>
        <v>30376.769999999997</v>
      </c>
      <c r="L17" s="69">
        <f t="shared" si="1"/>
        <v>11791.439999999999</v>
      </c>
      <c r="M17" s="69">
        <f t="shared" si="1"/>
        <v>1952.69</v>
      </c>
      <c r="N17" s="69">
        <f t="shared" si="1"/>
        <v>11306.34</v>
      </c>
      <c r="O17" s="69">
        <f t="shared" si="1"/>
        <v>22981</v>
      </c>
      <c r="P17" s="69">
        <f t="shared" si="1"/>
        <v>11284.890000000001</v>
      </c>
      <c r="Q17" s="69">
        <f t="shared" si="1"/>
        <v>11750.45</v>
      </c>
      <c r="R17" s="69">
        <f t="shared" si="1"/>
        <v>3461.94</v>
      </c>
      <c r="S17" s="69">
        <f t="shared" si="1"/>
        <v>4377.7099999999991</v>
      </c>
      <c r="T17" s="68">
        <f t="shared" si="0"/>
        <v>259121.77</v>
      </c>
      <c r="V17" s="6"/>
      <c r="W17" s="25"/>
    </row>
    <row r="18" spans="1:23" ht="18.75" customHeight="1" x14ac:dyDescent="0.25">
      <c r="A18" s="55">
        <v>2210</v>
      </c>
      <c r="B18" s="4" t="s">
        <v>2</v>
      </c>
      <c r="C18" s="70">
        <v>531.53</v>
      </c>
      <c r="D18" s="70">
        <v>553.73</v>
      </c>
      <c r="E18" s="70">
        <v>653.54</v>
      </c>
      <c r="F18" s="70">
        <v>43.3</v>
      </c>
      <c r="G18" s="70">
        <v>291.97000000000003</v>
      </c>
      <c r="H18" s="70">
        <v>230.34</v>
      </c>
      <c r="I18" s="70">
        <v>632.91999999999996</v>
      </c>
      <c r="J18" s="70">
        <v>172.65</v>
      </c>
      <c r="K18" s="70">
        <v>326.77</v>
      </c>
      <c r="L18" s="70">
        <v>308.43</v>
      </c>
      <c r="M18" s="70">
        <v>21.2</v>
      </c>
      <c r="N18" s="70">
        <v>220.49</v>
      </c>
      <c r="O18" s="70">
        <v>241</v>
      </c>
      <c r="P18" s="70">
        <v>258.76</v>
      </c>
      <c r="Q18" s="70">
        <v>269.66000000000003</v>
      </c>
      <c r="R18" s="70">
        <v>0</v>
      </c>
      <c r="S18" s="70">
        <v>405.35</v>
      </c>
      <c r="T18" s="68">
        <f t="shared" si="0"/>
        <v>5161.6399999999994</v>
      </c>
      <c r="V18" s="6"/>
      <c r="W18" s="25"/>
    </row>
    <row r="19" spans="1:23" ht="21" customHeight="1" x14ac:dyDescent="0.25">
      <c r="A19" s="55">
        <v>2220</v>
      </c>
      <c r="B19" s="4" t="s">
        <v>3</v>
      </c>
      <c r="C19" s="70">
        <v>6294.24</v>
      </c>
      <c r="D19" s="70">
        <v>22970.95</v>
      </c>
      <c r="E19" s="70">
        <v>44914.91</v>
      </c>
      <c r="F19" s="70">
        <v>5367.58</v>
      </c>
      <c r="G19" s="70">
        <v>4396.3</v>
      </c>
      <c r="H19" s="70">
        <v>16728.669999999998</v>
      </c>
      <c r="I19" s="70">
        <v>16569.169999999998</v>
      </c>
      <c r="J19" s="70">
        <v>4349.72</v>
      </c>
      <c r="K19" s="70">
        <v>18240</v>
      </c>
      <c r="L19" s="70">
        <v>9308.8799999999992</v>
      </c>
      <c r="M19" s="70">
        <v>1490.03</v>
      </c>
      <c r="N19" s="70">
        <v>9798.07</v>
      </c>
      <c r="O19" s="70">
        <v>18429</v>
      </c>
      <c r="P19" s="70">
        <v>9731.94</v>
      </c>
      <c r="Q19" s="70">
        <v>8188.16</v>
      </c>
      <c r="R19" s="70">
        <v>3263.17</v>
      </c>
      <c r="S19" s="70">
        <v>3629.31</v>
      </c>
      <c r="T19" s="68">
        <f t="shared" si="0"/>
        <v>203670.10000000003</v>
      </c>
      <c r="V19" s="25"/>
      <c r="W19" s="25"/>
    </row>
    <row r="20" spans="1:23" ht="27" customHeight="1" x14ac:dyDescent="0.25">
      <c r="A20" s="55">
        <v>2230</v>
      </c>
      <c r="B20" s="4" t="s">
        <v>4</v>
      </c>
      <c r="C20" s="70">
        <v>297.36</v>
      </c>
      <c r="D20" s="70">
        <v>475.14</v>
      </c>
      <c r="E20" s="70">
        <v>1171.24</v>
      </c>
      <c r="F20" s="70">
        <v>486.42</v>
      </c>
      <c r="G20" s="70">
        <v>267.61</v>
      </c>
      <c r="H20" s="70">
        <v>104.84</v>
      </c>
      <c r="I20" s="70">
        <v>1489.61</v>
      </c>
      <c r="J20" s="70">
        <v>95.34</v>
      </c>
      <c r="K20" s="70">
        <v>2197.6</v>
      </c>
      <c r="L20" s="70">
        <v>154.63</v>
      </c>
      <c r="M20" s="70">
        <v>26.25</v>
      </c>
      <c r="N20" s="70">
        <v>312.95</v>
      </c>
      <c r="O20" s="70">
        <v>574</v>
      </c>
      <c r="P20" s="70">
        <v>288.93</v>
      </c>
      <c r="Q20" s="70">
        <v>143.75</v>
      </c>
      <c r="R20" s="70">
        <v>170.88</v>
      </c>
      <c r="S20" s="70">
        <v>97.57</v>
      </c>
      <c r="T20" s="68">
        <f t="shared" si="0"/>
        <v>8354.1200000000008</v>
      </c>
      <c r="V20" s="25"/>
      <c r="W20" s="25"/>
    </row>
    <row r="21" spans="1:23" ht="27" customHeight="1" x14ac:dyDescent="0.25">
      <c r="A21" s="55">
        <v>2240</v>
      </c>
      <c r="B21" s="4" t="s">
        <v>36</v>
      </c>
      <c r="C21" s="70">
        <v>1501.29</v>
      </c>
      <c r="D21" s="70">
        <v>787.74</v>
      </c>
      <c r="E21" s="70">
        <v>6997.52</v>
      </c>
      <c r="F21" s="70">
        <v>47.57</v>
      </c>
      <c r="G21" s="70">
        <v>516.13</v>
      </c>
      <c r="H21" s="70">
        <v>1331.22</v>
      </c>
      <c r="I21" s="70">
        <v>6294.75</v>
      </c>
      <c r="J21" s="70">
        <v>273.64</v>
      </c>
      <c r="K21" s="70">
        <v>8984.4</v>
      </c>
      <c r="L21" s="70">
        <v>1579.3</v>
      </c>
      <c r="M21" s="70">
        <v>415.21</v>
      </c>
      <c r="N21" s="70">
        <v>974.83</v>
      </c>
      <c r="O21" s="70">
        <v>3517</v>
      </c>
      <c r="P21" s="70">
        <v>863.78</v>
      </c>
      <c r="Q21" s="70">
        <v>1829.76</v>
      </c>
      <c r="R21" s="70">
        <v>11.22</v>
      </c>
      <c r="S21" s="70">
        <v>245.48</v>
      </c>
      <c r="T21" s="68">
        <f t="shared" si="0"/>
        <v>36170.839999999997</v>
      </c>
      <c r="V21" s="25"/>
      <c r="W21" s="25"/>
    </row>
    <row r="22" spans="1:23" ht="17.25" customHeight="1" x14ac:dyDescent="0.25">
      <c r="A22" s="55">
        <v>2250</v>
      </c>
      <c r="B22" s="4" t="s">
        <v>5</v>
      </c>
      <c r="C22" s="70">
        <v>0</v>
      </c>
      <c r="D22" s="70">
        <v>76.25</v>
      </c>
      <c r="E22" s="70">
        <v>0</v>
      </c>
      <c r="F22" s="70">
        <v>171.86</v>
      </c>
      <c r="G22" s="70">
        <v>0</v>
      </c>
      <c r="H22" s="70">
        <v>296.68</v>
      </c>
      <c r="I22" s="70">
        <v>15.61</v>
      </c>
      <c r="J22" s="70">
        <v>234.41</v>
      </c>
      <c r="K22" s="70">
        <v>628</v>
      </c>
      <c r="L22" s="70">
        <v>196.66</v>
      </c>
      <c r="M22" s="70">
        <v>0</v>
      </c>
      <c r="N22" s="70">
        <v>0</v>
      </c>
      <c r="O22" s="70">
        <v>184</v>
      </c>
      <c r="P22" s="70">
        <v>0</v>
      </c>
      <c r="Q22" s="70">
        <v>531.19000000000005</v>
      </c>
      <c r="R22" s="70">
        <v>0</v>
      </c>
      <c r="S22" s="70">
        <v>0</v>
      </c>
      <c r="T22" s="68">
        <f t="shared" si="0"/>
        <v>2334.66</v>
      </c>
      <c r="V22" s="6"/>
      <c r="W22" s="25"/>
    </row>
    <row r="23" spans="1:23" ht="27" customHeight="1" x14ac:dyDescent="0.25">
      <c r="A23" s="55">
        <v>2260</v>
      </c>
      <c r="B23" s="4" t="s">
        <v>37</v>
      </c>
      <c r="C23" s="70">
        <v>606.02</v>
      </c>
      <c r="D23" s="70">
        <v>312.27999999999997</v>
      </c>
      <c r="E23" s="70">
        <v>663.36</v>
      </c>
      <c r="F23" s="70">
        <v>14.25</v>
      </c>
      <c r="G23" s="70">
        <v>0</v>
      </c>
      <c r="H23" s="70">
        <v>432.03</v>
      </c>
      <c r="I23" s="70">
        <v>0</v>
      </c>
      <c r="J23" s="70">
        <v>176.85</v>
      </c>
      <c r="K23" s="70"/>
      <c r="L23" s="70">
        <v>243.54</v>
      </c>
      <c r="M23" s="70">
        <v>0</v>
      </c>
      <c r="N23" s="70">
        <v>0</v>
      </c>
      <c r="O23" s="70">
        <v>36</v>
      </c>
      <c r="P23" s="70">
        <v>141.47999999999999</v>
      </c>
      <c r="Q23" s="70">
        <v>787.93</v>
      </c>
      <c r="R23" s="70">
        <v>16.670000000000002</v>
      </c>
      <c r="S23" s="70">
        <v>0</v>
      </c>
      <c r="T23" s="68">
        <f t="shared" si="0"/>
        <v>3430.41</v>
      </c>
      <c r="V23" s="25"/>
      <c r="W23" s="25"/>
    </row>
    <row r="24" spans="1:23" ht="24.75" customHeight="1" x14ac:dyDescent="0.25">
      <c r="A24" s="34">
        <v>2300</v>
      </c>
      <c r="B24" s="2" t="s">
        <v>38</v>
      </c>
      <c r="C24" s="69">
        <f t="shared" ref="C24:S24" si="2">SUM(C25:C30)</f>
        <v>5647.51</v>
      </c>
      <c r="D24" s="69">
        <f t="shared" si="2"/>
        <v>3622.4</v>
      </c>
      <c r="E24" s="69">
        <f t="shared" si="2"/>
        <v>7893.51</v>
      </c>
      <c r="F24" s="69">
        <f t="shared" si="2"/>
        <v>1588.9400000000003</v>
      </c>
      <c r="G24" s="69">
        <f t="shared" si="2"/>
        <v>1203.0999999999999</v>
      </c>
      <c r="H24" s="69">
        <f t="shared" si="2"/>
        <v>2712.7599999999998</v>
      </c>
      <c r="I24" s="69">
        <f t="shared" si="2"/>
        <v>9231.0399999999991</v>
      </c>
      <c r="J24" s="69">
        <f t="shared" si="2"/>
        <v>2300.39</v>
      </c>
      <c r="K24" s="69">
        <f t="shared" si="2"/>
        <v>9486</v>
      </c>
      <c r="L24" s="69">
        <f t="shared" si="2"/>
        <v>3916.7200000000003</v>
      </c>
      <c r="M24" s="69">
        <f t="shared" si="2"/>
        <v>2766.0600000000004</v>
      </c>
      <c r="N24" s="69">
        <f t="shared" si="2"/>
        <v>5060.1899999999996</v>
      </c>
      <c r="O24" s="69">
        <f t="shared" si="2"/>
        <v>7567</v>
      </c>
      <c r="P24" s="69">
        <f t="shared" si="2"/>
        <v>3792.1400000000003</v>
      </c>
      <c r="Q24" s="69">
        <f t="shared" si="2"/>
        <v>13125.18</v>
      </c>
      <c r="R24" s="69">
        <f t="shared" si="2"/>
        <v>3476.16</v>
      </c>
      <c r="S24" s="69">
        <f t="shared" si="2"/>
        <v>2677.27</v>
      </c>
      <c r="T24" s="68">
        <f t="shared" si="0"/>
        <v>86066.37</v>
      </c>
      <c r="U24" s="16"/>
      <c r="V24" s="6"/>
      <c r="W24" s="25"/>
    </row>
    <row r="25" spans="1:23" ht="15.75" customHeight="1" x14ac:dyDescent="0.25">
      <c r="A25" s="23">
        <v>2310</v>
      </c>
      <c r="B25" s="4" t="s">
        <v>39</v>
      </c>
      <c r="C25" s="70">
        <v>1893.66</v>
      </c>
      <c r="D25" s="70">
        <v>487.08</v>
      </c>
      <c r="E25" s="70">
        <v>1553.46</v>
      </c>
      <c r="F25" s="70">
        <v>707.48</v>
      </c>
      <c r="G25" s="70">
        <v>463.21</v>
      </c>
      <c r="H25" s="70">
        <v>1411.08</v>
      </c>
      <c r="I25" s="70">
        <v>2897.26</v>
      </c>
      <c r="J25" s="70">
        <v>889.04</v>
      </c>
      <c r="K25" s="70">
        <v>4185</v>
      </c>
      <c r="L25" s="70">
        <v>1687.98</v>
      </c>
      <c r="M25" s="70">
        <v>194.11</v>
      </c>
      <c r="N25" s="70">
        <v>1955.93</v>
      </c>
      <c r="O25" s="70">
        <v>2986</v>
      </c>
      <c r="P25" s="70">
        <v>1921.4</v>
      </c>
      <c r="Q25" s="70">
        <v>2652.86</v>
      </c>
      <c r="R25" s="70">
        <v>433.71</v>
      </c>
      <c r="S25" s="70">
        <v>199.88</v>
      </c>
      <c r="T25" s="68">
        <f t="shared" si="0"/>
        <v>26519.14</v>
      </c>
      <c r="U25" s="6"/>
      <c r="V25" s="25"/>
      <c r="W25" s="25"/>
    </row>
    <row r="26" spans="1:23" ht="27.75" customHeight="1" x14ac:dyDescent="0.25">
      <c r="A26" s="23">
        <v>2320</v>
      </c>
      <c r="B26" s="4" t="s">
        <v>6</v>
      </c>
      <c r="C26" s="70">
        <v>24.63</v>
      </c>
      <c r="D26" s="70">
        <v>0</v>
      </c>
      <c r="E26" s="70">
        <v>0</v>
      </c>
      <c r="F26" s="70">
        <v>0</v>
      </c>
      <c r="G26" s="70">
        <v>0</v>
      </c>
      <c r="H26" s="70">
        <v>9.76</v>
      </c>
      <c r="I26" s="70">
        <v>0</v>
      </c>
      <c r="J26" s="70">
        <v>34.28</v>
      </c>
      <c r="K26" s="70">
        <v>0</v>
      </c>
      <c r="L26" s="70">
        <v>0</v>
      </c>
      <c r="M26" s="70">
        <v>2039.43</v>
      </c>
      <c r="N26" s="70">
        <v>0</v>
      </c>
      <c r="O26" s="70">
        <v>0</v>
      </c>
      <c r="P26" s="70">
        <v>2.4700000000000002</v>
      </c>
      <c r="Q26" s="70">
        <v>7497.11</v>
      </c>
      <c r="R26" s="70">
        <v>2711.88</v>
      </c>
      <c r="S26" s="70">
        <v>431.54</v>
      </c>
      <c r="T26" s="68">
        <f t="shared" si="0"/>
        <v>12751.100000000002</v>
      </c>
      <c r="V26" s="25"/>
      <c r="W26" s="25"/>
    </row>
    <row r="27" spans="1:23" ht="24.75" customHeight="1" x14ac:dyDescent="0.25">
      <c r="A27" s="23">
        <v>2340</v>
      </c>
      <c r="B27" s="4" t="s">
        <v>40</v>
      </c>
      <c r="C27" s="70">
        <v>5.6</v>
      </c>
      <c r="D27" s="70">
        <v>7.65</v>
      </c>
      <c r="E27" s="70">
        <v>94.36</v>
      </c>
      <c r="F27" s="70">
        <v>0</v>
      </c>
      <c r="G27" s="70">
        <v>16.579999999999998</v>
      </c>
      <c r="H27" s="70">
        <v>3.05</v>
      </c>
      <c r="I27" s="70">
        <v>166.52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64</v>
      </c>
      <c r="P27" s="70">
        <v>42.93</v>
      </c>
      <c r="Q27" s="70">
        <v>41.03</v>
      </c>
      <c r="R27" s="70">
        <v>0</v>
      </c>
      <c r="S27" s="70">
        <v>0</v>
      </c>
      <c r="T27" s="68">
        <f t="shared" si="0"/>
        <v>441.72</v>
      </c>
      <c r="V27" s="6"/>
      <c r="W27" s="25"/>
    </row>
    <row r="28" spans="1:23" ht="20.25" customHeight="1" x14ac:dyDescent="0.25">
      <c r="A28" s="23">
        <v>2350</v>
      </c>
      <c r="B28" s="4" t="s">
        <v>7</v>
      </c>
      <c r="C28" s="70">
        <v>3063.78</v>
      </c>
      <c r="D28" s="70">
        <v>2740.57</v>
      </c>
      <c r="E28" s="70">
        <v>3353.87</v>
      </c>
      <c r="F28" s="70">
        <v>627.32000000000005</v>
      </c>
      <c r="G28" s="70">
        <v>607.21</v>
      </c>
      <c r="H28" s="70">
        <v>1010.09</v>
      </c>
      <c r="I28" s="70">
        <v>5903.81</v>
      </c>
      <c r="J28" s="70">
        <v>654.27</v>
      </c>
      <c r="K28" s="70">
        <v>3809</v>
      </c>
      <c r="L28" s="70">
        <v>1735.63</v>
      </c>
      <c r="M28" s="70">
        <v>456.22</v>
      </c>
      <c r="N28" s="70">
        <v>2888.54</v>
      </c>
      <c r="O28" s="70">
        <v>2596</v>
      </c>
      <c r="P28" s="70">
        <v>1652.9</v>
      </c>
      <c r="Q28" s="70">
        <v>2388.88</v>
      </c>
      <c r="R28" s="70">
        <v>294.94</v>
      </c>
      <c r="S28" s="70">
        <v>1829.51</v>
      </c>
      <c r="T28" s="68">
        <f t="shared" si="0"/>
        <v>35612.54</v>
      </c>
      <c r="V28" s="6"/>
      <c r="W28" s="25"/>
    </row>
    <row r="29" spans="1:23" ht="38.25" customHeight="1" x14ac:dyDescent="0.25">
      <c r="A29" s="23">
        <v>2360</v>
      </c>
      <c r="B29" s="4" t="s">
        <v>41</v>
      </c>
      <c r="C29" s="70">
        <v>190.61</v>
      </c>
      <c r="D29" s="70">
        <v>52.29</v>
      </c>
      <c r="E29" s="70">
        <v>1823.59</v>
      </c>
      <c r="F29" s="70">
        <v>96.89</v>
      </c>
      <c r="G29" s="70">
        <v>0</v>
      </c>
      <c r="H29" s="70">
        <v>53.14</v>
      </c>
      <c r="I29" s="70">
        <v>168.48</v>
      </c>
      <c r="J29" s="70">
        <v>193.7</v>
      </c>
      <c r="K29" s="70">
        <v>0</v>
      </c>
      <c r="L29" s="70">
        <v>66.05</v>
      </c>
      <c r="M29" s="70">
        <v>0</v>
      </c>
      <c r="N29" s="70">
        <v>7.9</v>
      </c>
      <c r="O29" s="70">
        <v>578</v>
      </c>
      <c r="P29" s="70">
        <v>134.61000000000001</v>
      </c>
      <c r="Q29" s="70">
        <v>85.33</v>
      </c>
      <c r="R29" s="70">
        <v>14.43</v>
      </c>
      <c r="S29" s="70">
        <v>171.45</v>
      </c>
      <c r="T29" s="68">
        <f t="shared" si="0"/>
        <v>3636.4699999999993</v>
      </c>
      <c r="V29" s="6"/>
      <c r="W29" s="25"/>
    </row>
    <row r="30" spans="1:23" ht="20.25" customHeight="1" x14ac:dyDescent="0.25">
      <c r="A30" s="23">
        <v>2370</v>
      </c>
      <c r="B30" s="20" t="s">
        <v>33</v>
      </c>
      <c r="C30" s="70">
        <v>469.23</v>
      </c>
      <c r="D30" s="70">
        <v>334.81</v>
      </c>
      <c r="E30" s="70">
        <v>1068.23</v>
      </c>
      <c r="F30" s="70">
        <v>157.25</v>
      </c>
      <c r="G30" s="70">
        <v>116.1</v>
      </c>
      <c r="H30" s="70">
        <v>225.64</v>
      </c>
      <c r="I30" s="70">
        <v>94.97</v>
      </c>
      <c r="J30" s="70">
        <v>529.1</v>
      </c>
      <c r="K30" s="70">
        <v>1492</v>
      </c>
      <c r="L30" s="70">
        <v>427.06</v>
      </c>
      <c r="M30" s="70">
        <v>76.3</v>
      </c>
      <c r="N30" s="70">
        <v>207.82</v>
      </c>
      <c r="O30" s="70">
        <v>1343</v>
      </c>
      <c r="P30" s="70">
        <v>37.83</v>
      </c>
      <c r="Q30" s="70">
        <v>459.97</v>
      </c>
      <c r="R30" s="70">
        <v>21.2</v>
      </c>
      <c r="S30" s="70">
        <v>44.89</v>
      </c>
      <c r="T30" s="68">
        <f t="shared" si="0"/>
        <v>7105.4000000000005</v>
      </c>
      <c r="V30" s="6"/>
      <c r="W30" s="25"/>
    </row>
    <row r="31" spans="1:23" ht="21.75" customHeight="1" x14ac:dyDescent="0.25">
      <c r="A31" s="35">
        <v>2400</v>
      </c>
      <c r="B31" s="2" t="s">
        <v>8</v>
      </c>
      <c r="C31" s="69">
        <v>0</v>
      </c>
      <c r="D31" s="69">
        <v>0</v>
      </c>
      <c r="E31" s="69">
        <v>47.55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66.180000000000007</v>
      </c>
      <c r="R31" s="69">
        <v>0</v>
      </c>
      <c r="S31" s="69">
        <v>0</v>
      </c>
      <c r="T31" s="68">
        <f t="shared" si="0"/>
        <v>113.73</v>
      </c>
      <c r="V31" s="6"/>
      <c r="W31" s="25"/>
    </row>
    <row r="32" spans="1:23" ht="18.75" customHeight="1" x14ac:dyDescent="0.25">
      <c r="A32" s="35">
        <v>5233</v>
      </c>
      <c r="B32" s="21" t="s">
        <v>34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8">
        <f t="shared" si="0"/>
        <v>0</v>
      </c>
      <c r="V32" s="6"/>
      <c r="W32" s="25"/>
    </row>
    <row r="33" spans="1:22" ht="18" customHeight="1" x14ac:dyDescent="0.25">
      <c r="A33" s="82" t="s">
        <v>9</v>
      </c>
      <c r="B33" s="83"/>
      <c r="C33" s="80">
        <f t="shared" ref="C33:S33" si="3">C14+C15+C16+C17+C24+C31+C32</f>
        <v>157457.59</v>
      </c>
      <c r="D33" s="80">
        <f t="shared" si="3"/>
        <v>311792.19000000006</v>
      </c>
      <c r="E33" s="80">
        <f t="shared" si="3"/>
        <v>416219.94</v>
      </c>
      <c r="F33" s="80">
        <f t="shared" si="3"/>
        <v>61118.380000000005</v>
      </c>
      <c r="G33" s="80">
        <f t="shared" si="3"/>
        <v>71837.88</v>
      </c>
      <c r="H33" s="80">
        <f t="shared" si="3"/>
        <v>122212.94999999998</v>
      </c>
      <c r="I33" s="80">
        <f t="shared" si="3"/>
        <v>256372.02</v>
      </c>
      <c r="J33" s="80">
        <f t="shared" si="3"/>
        <v>66725.100000000006</v>
      </c>
      <c r="K33" s="80">
        <f t="shared" si="3"/>
        <v>229392.77</v>
      </c>
      <c r="L33" s="80">
        <f t="shared" si="3"/>
        <v>116883.21</v>
      </c>
      <c r="M33" s="80">
        <f t="shared" si="3"/>
        <v>24812.240000000002</v>
      </c>
      <c r="N33" s="80">
        <f t="shared" si="3"/>
        <v>92887.9</v>
      </c>
      <c r="O33" s="80">
        <f t="shared" si="3"/>
        <v>176498</v>
      </c>
      <c r="P33" s="80">
        <f t="shared" si="3"/>
        <v>84905.959999999992</v>
      </c>
      <c r="Q33" s="80">
        <f t="shared" si="3"/>
        <v>212047.27</v>
      </c>
      <c r="R33" s="80">
        <f t="shared" si="3"/>
        <v>52951</v>
      </c>
      <c r="S33" s="80">
        <f t="shared" si="3"/>
        <v>41933.069999999992</v>
      </c>
      <c r="T33" s="80">
        <f>C33+D33+E33+F33+G33+H33+J33+L33+M33+N33+P33+Q33+R33+S33+I33+K33+O33</f>
        <v>2496047.4699999997</v>
      </c>
      <c r="U33" s="29"/>
      <c r="V33" s="6"/>
    </row>
    <row r="34" spans="1:22" ht="30" customHeight="1" x14ac:dyDescent="0.25">
      <c r="A34" s="82" t="s">
        <v>31</v>
      </c>
      <c r="B34" s="85"/>
      <c r="C34" s="81">
        <f t="shared" ref="C34:T34" si="4">C33/12/C12</f>
        <v>215.10599726775956</v>
      </c>
      <c r="D34" s="81">
        <f t="shared" si="4"/>
        <v>201.41614341085275</v>
      </c>
      <c r="E34" s="81">
        <f t="shared" si="4"/>
        <v>192.69441666666668</v>
      </c>
      <c r="F34" s="81">
        <f t="shared" si="4"/>
        <v>242.53325396825397</v>
      </c>
      <c r="G34" s="81">
        <f t="shared" si="4"/>
        <v>166.29138888888892</v>
      </c>
      <c r="H34" s="81">
        <f t="shared" si="4"/>
        <v>242.48601190476188</v>
      </c>
      <c r="I34" s="81">
        <f t="shared" si="4"/>
        <v>318.87067164179103</v>
      </c>
      <c r="J34" s="81">
        <f t="shared" si="4"/>
        <v>241.75760869565218</v>
      </c>
      <c r="K34" s="81">
        <f t="shared" si="4"/>
        <v>318.60106944444448</v>
      </c>
      <c r="L34" s="81">
        <f t="shared" si="4"/>
        <v>278.29335714285713</v>
      </c>
      <c r="M34" s="81">
        <f t="shared" si="4"/>
        <v>413.53733333333338</v>
      </c>
      <c r="N34" s="81">
        <f t="shared" si="4"/>
        <v>276.45208333333329</v>
      </c>
      <c r="O34" s="81">
        <f t="shared" si="4"/>
        <v>312.9397163120567</v>
      </c>
      <c r="P34" s="81">
        <f t="shared" si="4"/>
        <v>221.10927083333331</v>
      </c>
      <c r="Q34" s="81">
        <f t="shared" si="4"/>
        <v>299.50179378531072</v>
      </c>
      <c r="R34" s="81">
        <f t="shared" si="4"/>
        <v>275.78645833333331</v>
      </c>
      <c r="S34" s="81">
        <f t="shared" si="4"/>
        <v>317.67477272727268</v>
      </c>
      <c r="T34" s="81">
        <f t="shared" si="4"/>
        <v>244.13609839593113</v>
      </c>
      <c r="V34" s="6"/>
    </row>
    <row r="35" spans="1:22" x14ac:dyDescent="0.2">
      <c r="C35" s="5"/>
      <c r="D35" s="5"/>
      <c r="S35" s="6"/>
      <c r="T35" s="38"/>
    </row>
    <row r="36" spans="1:22" x14ac:dyDescent="0.2">
      <c r="C36" s="17"/>
      <c r="D36" s="17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7"/>
      <c r="T36" s="38"/>
    </row>
    <row r="37" spans="1:22" x14ac:dyDescent="0.2">
      <c r="B37" s="28"/>
      <c r="C37" s="52"/>
      <c r="D37" s="15"/>
      <c r="E37" s="15"/>
      <c r="F37" s="15"/>
      <c r="G37" s="15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5"/>
      <c r="T37" s="59"/>
      <c r="U37" s="15"/>
    </row>
    <row r="38" spans="1:22" x14ac:dyDescent="0.2">
      <c r="B38" s="2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22" x14ac:dyDescent="0.2">
      <c r="B39" s="28"/>
      <c r="D39" s="27"/>
      <c r="H39" s="15"/>
      <c r="I39" s="15"/>
    </row>
    <row r="40" spans="1:22" x14ac:dyDescent="0.2">
      <c r="B40" s="28"/>
      <c r="C40" s="15"/>
      <c r="D40" s="15"/>
      <c r="E40" s="15"/>
      <c r="M40" s="15"/>
    </row>
    <row r="41" spans="1:22" x14ac:dyDescent="0.2">
      <c r="B41" s="28"/>
    </row>
    <row r="42" spans="1:22" x14ac:dyDescent="0.2">
      <c r="B42" s="28"/>
    </row>
  </sheetData>
  <mergeCells count="3">
    <mergeCell ref="A33:B33"/>
    <mergeCell ref="A34:B34"/>
    <mergeCell ref="A13:F1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41"/>
  <sheetViews>
    <sheetView workbookViewId="0">
      <selection activeCell="C1" sqref="C1:E4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9.85546875" customWidth="1"/>
    <col min="6" max="6" width="9.5703125" customWidth="1"/>
    <col min="7" max="7" width="9.140625" customWidth="1"/>
    <col min="8" max="8" width="9.5703125" customWidth="1"/>
    <col min="9" max="9" width="12.7109375" customWidth="1"/>
    <col min="10" max="11" width="10.85546875" customWidth="1"/>
    <col min="12" max="12" width="10.7109375" customWidth="1"/>
    <col min="13" max="13" width="8.7109375" customWidth="1"/>
    <col min="14" max="14" width="9.42578125" customWidth="1"/>
    <col min="15" max="15" width="13.7109375" customWidth="1"/>
    <col min="16" max="16" width="13.5703125" customWidth="1"/>
    <col min="17" max="17" width="11.28515625" customWidth="1"/>
    <col min="18" max="18" width="11.42578125" customWidth="1"/>
    <col min="19" max="19" width="9.140625" customWidth="1"/>
    <col min="20" max="20" width="11.42578125" style="13" customWidth="1"/>
    <col min="21" max="21" width="9.140625" customWidth="1"/>
  </cols>
  <sheetData>
    <row r="1" spans="1:20" x14ac:dyDescent="0.2">
      <c r="C1" t="s">
        <v>77</v>
      </c>
    </row>
    <row r="2" spans="1:20" x14ac:dyDescent="0.2">
      <c r="C2" s="88" t="s">
        <v>78</v>
      </c>
    </row>
    <row r="3" spans="1:20" x14ac:dyDescent="0.2">
      <c r="C3" s="88" t="s">
        <v>79</v>
      </c>
    </row>
    <row r="4" spans="1:20" x14ac:dyDescent="0.2">
      <c r="C4" s="88" t="s">
        <v>80</v>
      </c>
    </row>
    <row r="7" spans="1:20" ht="15" x14ac:dyDescent="0.2">
      <c r="B7" s="7" t="s">
        <v>61</v>
      </c>
    </row>
    <row r="8" spans="1:20" x14ac:dyDescent="0.2">
      <c r="A8" s="1"/>
      <c r="B8" s="3" t="s">
        <v>60</v>
      </c>
      <c r="C8" s="1"/>
    </row>
    <row r="9" spans="1:20" x14ac:dyDescent="0.2">
      <c r="A9" s="1"/>
      <c r="B9" s="3"/>
      <c r="C9" s="1"/>
    </row>
    <row r="10" spans="1:20" x14ac:dyDescent="0.2">
      <c r="A10" s="40"/>
      <c r="B10" s="3"/>
    </row>
    <row r="11" spans="1:20" s="19" customFormat="1" ht="53.25" customHeight="1" x14ac:dyDescent="0.2">
      <c r="A11" s="45" t="s">
        <v>1</v>
      </c>
      <c r="B11" s="46" t="s">
        <v>0</v>
      </c>
      <c r="C11" s="24" t="s">
        <v>22</v>
      </c>
      <c r="D11" s="24" t="s">
        <v>23</v>
      </c>
      <c r="E11" s="24" t="s">
        <v>24</v>
      </c>
      <c r="F11" s="24" t="s">
        <v>25</v>
      </c>
      <c r="G11" s="24" t="s">
        <v>12</v>
      </c>
      <c r="H11" s="24" t="s">
        <v>26</v>
      </c>
      <c r="I11" s="24" t="s">
        <v>64</v>
      </c>
      <c r="J11" s="24" t="s">
        <v>27</v>
      </c>
      <c r="K11" s="37" t="s">
        <v>66</v>
      </c>
      <c r="L11" s="24" t="s">
        <v>28</v>
      </c>
      <c r="M11" s="24" t="s">
        <v>16</v>
      </c>
      <c r="N11" s="24" t="s">
        <v>17</v>
      </c>
      <c r="O11" s="24" t="s">
        <v>69</v>
      </c>
      <c r="P11" s="24" t="s">
        <v>32</v>
      </c>
      <c r="Q11" s="24" t="s">
        <v>29</v>
      </c>
      <c r="R11" s="24" t="s">
        <v>56</v>
      </c>
      <c r="S11" s="24" t="s">
        <v>20</v>
      </c>
      <c r="T11" s="24" t="s">
        <v>21</v>
      </c>
    </row>
    <row r="12" spans="1:20" ht="21" customHeight="1" x14ac:dyDescent="0.25">
      <c r="A12" s="30"/>
      <c r="B12" s="20" t="s">
        <v>63</v>
      </c>
      <c r="C12" s="39">
        <v>43</v>
      </c>
      <c r="D12" s="73">
        <v>96</v>
      </c>
      <c r="E12" s="73">
        <v>138</v>
      </c>
      <c r="F12" s="73">
        <v>19</v>
      </c>
      <c r="G12" s="73">
        <v>22</v>
      </c>
      <c r="H12" s="73">
        <v>32</v>
      </c>
      <c r="I12" s="73">
        <v>36</v>
      </c>
      <c r="J12" s="73">
        <v>16</v>
      </c>
      <c r="K12" s="73">
        <v>47</v>
      </c>
      <c r="L12" s="73">
        <v>28</v>
      </c>
      <c r="M12" s="73">
        <v>7</v>
      </c>
      <c r="N12" s="73">
        <v>14</v>
      </c>
      <c r="O12" s="73">
        <v>38</v>
      </c>
      <c r="P12" s="73">
        <v>26</v>
      </c>
      <c r="Q12" s="73">
        <f>11+45</f>
        <v>56</v>
      </c>
      <c r="R12" s="73">
        <v>9</v>
      </c>
      <c r="S12" s="73">
        <v>12</v>
      </c>
      <c r="T12" s="71">
        <f>C12+D12+E12+F12+G12+H12+J12+L12+M12+N12+P12+Q12+R12+S12+I12+K12+O12</f>
        <v>639</v>
      </c>
    </row>
    <row r="13" spans="1:20" ht="26.25" customHeight="1" x14ac:dyDescent="0.25">
      <c r="A13" s="86" t="s">
        <v>70</v>
      </c>
      <c r="B13" s="87"/>
      <c r="C13" s="87"/>
      <c r="D13" s="87"/>
      <c r="E13" s="87"/>
      <c r="F13" s="87"/>
      <c r="T13" s="56"/>
    </row>
    <row r="14" spans="1:20" ht="39" x14ac:dyDescent="0.25">
      <c r="A14" s="8">
        <v>1100</v>
      </c>
      <c r="B14" s="2" t="s">
        <v>42</v>
      </c>
      <c r="C14" s="69">
        <v>37193.43</v>
      </c>
      <c r="D14" s="69">
        <v>68359.48</v>
      </c>
      <c r="E14" s="69">
        <v>98069.36</v>
      </c>
      <c r="F14" s="69">
        <v>18112.46</v>
      </c>
      <c r="G14" s="69">
        <v>14381.22</v>
      </c>
      <c r="H14" s="69">
        <v>34514.11</v>
      </c>
      <c r="I14" s="69">
        <v>61074.52</v>
      </c>
      <c r="J14" s="69">
        <v>17706.759999999998</v>
      </c>
      <c r="K14" s="72">
        <v>65741</v>
      </c>
      <c r="L14" s="69">
        <v>35665.71</v>
      </c>
      <c r="M14" s="69">
        <v>8286.9699999999993</v>
      </c>
      <c r="N14" s="69">
        <v>14065.19</v>
      </c>
      <c r="O14" s="72">
        <v>66615</v>
      </c>
      <c r="P14" s="69">
        <v>24296.37</v>
      </c>
      <c r="Q14" s="69">
        <v>71988.820000000007</v>
      </c>
      <c r="R14" s="69">
        <v>8736.5300000000007</v>
      </c>
      <c r="S14" s="69">
        <v>12780.27</v>
      </c>
      <c r="T14" s="68">
        <f>C14+D14+E14+F14+G14+H14+J14+L14+M14+N14+P14+Q14+R14+S14+I14+K14+O14</f>
        <v>657587.20000000007</v>
      </c>
    </row>
    <row r="15" spans="1:20" ht="51.75" x14ac:dyDescent="0.25">
      <c r="A15" s="8">
        <v>1200</v>
      </c>
      <c r="B15" s="2" t="s">
        <v>44</v>
      </c>
      <c r="C15" s="69">
        <v>11595.1</v>
      </c>
      <c r="D15" s="69">
        <v>20172.39</v>
      </c>
      <c r="E15" s="69">
        <v>28561.98</v>
      </c>
      <c r="F15" s="69">
        <v>5107.7700000000004</v>
      </c>
      <c r="G15" s="69">
        <v>3960.53</v>
      </c>
      <c r="H15" s="69">
        <v>10719.72</v>
      </c>
      <c r="I15" s="69">
        <v>14678.56</v>
      </c>
      <c r="J15" s="69">
        <v>4871.3900000000003</v>
      </c>
      <c r="K15" s="72">
        <v>15893</v>
      </c>
      <c r="L15" s="69">
        <v>9929.5300000000007</v>
      </c>
      <c r="M15" s="69">
        <v>2730.31</v>
      </c>
      <c r="N15" s="69">
        <v>3692</v>
      </c>
      <c r="O15" s="72">
        <v>20647</v>
      </c>
      <c r="P15" s="69">
        <v>7616.95</v>
      </c>
      <c r="Q15" s="69">
        <v>21635.07</v>
      </c>
      <c r="R15" s="69">
        <v>2449.29</v>
      </c>
      <c r="S15" s="69">
        <v>3539.84</v>
      </c>
      <c r="T15" s="68">
        <f t="shared" ref="T15:T33" si="0">C15+D15+E15+F15+G15+H15+J15+L15+M15+N15+P15+Q15+R15+S15+I15+K15+O15</f>
        <v>187800.43</v>
      </c>
    </row>
    <row r="16" spans="1:20" ht="39" x14ac:dyDescent="0.25">
      <c r="A16" s="8">
        <v>2100</v>
      </c>
      <c r="B16" s="2" t="s">
        <v>35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72">
        <v>0</v>
      </c>
      <c r="L16" s="69">
        <v>0</v>
      </c>
      <c r="M16" s="69">
        <v>0</v>
      </c>
      <c r="N16" s="69">
        <v>0</v>
      </c>
      <c r="O16" s="72">
        <v>0</v>
      </c>
      <c r="P16" s="69">
        <v>0</v>
      </c>
      <c r="Q16" s="69">
        <v>0</v>
      </c>
      <c r="R16" s="69">
        <v>0</v>
      </c>
      <c r="S16" s="69">
        <v>0</v>
      </c>
      <c r="T16" s="68">
        <f t="shared" si="0"/>
        <v>0</v>
      </c>
    </row>
    <row r="17" spans="1:20" ht="15" x14ac:dyDescent="0.25">
      <c r="A17" s="8">
        <v>2200</v>
      </c>
      <c r="B17" s="2" t="s">
        <v>43</v>
      </c>
      <c r="C17" s="69">
        <f>SUM(C18:C23)</f>
        <v>6506.69</v>
      </c>
      <c r="D17" s="69">
        <f t="shared" ref="D17:S17" si="1">SUM(D18:D23)</f>
        <v>18735.71</v>
      </c>
      <c r="E17" s="69">
        <f t="shared" si="1"/>
        <v>41707.100000000006</v>
      </c>
      <c r="F17" s="69">
        <f t="shared" si="1"/>
        <v>5547.09</v>
      </c>
      <c r="G17" s="69">
        <f t="shared" si="1"/>
        <v>3343.9999999999995</v>
      </c>
      <c r="H17" s="69">
        <f t="shared" si="1"/>
        <v>14570.51</v>
      </c>
      <c r="I17" s="69">
        <f t="shared" si="1"/>
        <v>13433.939999999999</v>
      </c>
      <c r="J17" s="69">
        <f t="shared" si="1"/>
        <v>3688.7900000000004</v>
      </c>
      <c r="K17" s="69">
        <f t="shared" si="1"/>
        <v>23769.71</v>
      </c>
      <c r="L17" s="69">
        <f t="shared" si="1"/>
        <v>9433.15</v>
      </c>
      <c r="M17" s="69">
        <f t="shared" si="1"/>
        <v>2733.7799999999997</v>
      </c>
      <c r="N17" s="69">
        <f t="shared" si="1"/>
        <v>5653.1799999999994</v>
      </c>
      <c r="O17" s="69">
        <f t="shared" si="1"/>
        <v>18579</v>
      </c>
      <c r="P17" s="69">
        <f t="shared" si="1"/>
        <v>9168.9699999999993</v>
      </c>
      <c r="Q17" s="69">
        <f t="shared" si="1"/>
        <v>11152.98</v>
      </c>
      <c r="R17" s="69">
        <f t="shared" si="1"/>
        <v>1947.3399999999997</v>
      </c>
      <c r="S17" s="69">
        <f t="shared" si="1"/>
        <v>4775.67</v>
      </c>
      <c r="T17" s="68">
        <f t="shared" si="0"/>
        <v>194747.61</v>
      </c>
    </row>
    <row r="18" spans="1:20" ht="15" x14ac:dyDescent="0.25">
      <c r="A18" s="9">
        <v>2210</v>
      </c>
      <c r="B18" s="4" t="s">
        <v>2</v>
      </c>
      <c r="C18" s="70">
        <v>374.68</v>
      </c>
      <c r="D18" s="70">
        <v>412.08</v>
      </c>
      <c r="E18" s="70">
        <v>501.05</v>
      </c>
      <c r="F18" s="70">
        <v>39.18</v>
      </c>
      <c r="G18" s="70">
        <v>178.43</v>
      </c>
      <c r="H18" s="70">
        <v>175.5</v>
      </c>
      <c r="I18" s="70">
        <v>340.08</v>
      </c>
      <c r="J18" s="70">
        <v>120.11</v>
      </c>
      <c r="K18" s="70">
        <v>255.71</v>
      </c>
      <c r="L18" s="70">
        <v>246.75</v>
      </c>
      <c r="M18" s="70">
        <v>29.68</v>
      </c>
      <c r="N18" s="70">
        <v>110.25</v>
      </c>
      <c r="O18" s="70">
        <v>195</v>
      </c>
      <c r="P18" s="70">
        <v>210.24</v>
      </c>
      <c r="Q18" s="70">
        <v>255.95</v>
      </c>
      <c r="R18" s="70">
        <v>0</v>
      </c>
      <c r="S18" s="70">
        <v>442.19</v>
      </c>
      <c r="T18" s="68">
        <f t="shared" si="0"/>
        <v>3886.8799999999997</v>
      </c>
    </row>
    <row r="19" spans="1:20" ht="15" x14ac:dyDescent="0.25">
      <c r="A19" s="9">
        <v>2220</v>
      </c>
      <c r="B19" s="4" t="s">
        <v>3</v>
      </c>
      <c r="C19" s="70">
        <v>4436.92</v>
      </c>
      <c r="D19" s="70">
        <v>17094.66</v>
      </c>
      <c r="E19" s="70">
        <v>34434.76</v>
      </c>
      <c r="F19" s="70">
        <v>4856.38</v>
      </c>
      <c r="G19" s="70">
        <v>2686.62</v>
      </c>
      <c r="H19" s="70">
        <v>12745.66</v>
      </c>
      <c r="I19" s="70">
        <v>8902.83</v>
      </c>
      <c r="J19" s="70">
        <v>3025.9</v>
      </c>
      <c r="K19" s="70">
        <v>14273</v>
      </c>
      <c r="L19" s="70">
        <v>7447.11</v>
      </c>
      <c r="M19" s="70">
        <v>2086.0500000000002</v>
      </c>
      <c r="N19" s="70">
        <v>4899.03</v>
      </c>
      <c r="O19" s="70">
        <v>14900</v>
      </c>
      <c r="P19" s="70">
        <v>7907.2</v>
      </c>
      <c r="Q19" s="70">
        <v>7771.82</v>
      </c>
      <c r="R19" s="70">
        <v>1835.54</v>
      </c>
      <c r="S19" s="70">
        <v>3959.25</v>
      </c>
      <c r="T19" s="68">
        <f t="shared" si="0"/>
        <v>153262.72999999998</v>
      </c>
    </row>
    <row r="20" spans="1:20" ht="26.25" x14ac:dyDescent="0.25">
      <c r="A20" s="9">
        <v>2230</v>
      </c>
      <c r="B20" s="4" t="s">
        <v>4</v>
      </c>
      <c r="C20" s="70">
        <v>209.61</v>
      </c>
      <c r="D20" s="70">
        <v>353.6</v>
      </c>
      <c r="E20" s="70">
        <v>897.95</v>
      </c>
      <c r="F20" s="70">
        <v>440.09</v>
      </c>
      <c r="G20" s="70">
        <v>163.54</v>
      </c>
      <c r="H20" s="70">
        <v>79.88</v>
      </c>
      <c r="I20" s="70">
        <v>800.39</v>
      </c>
      <c r="J20" s="70">
        <v>66.33</v>
      </c>
      <c r="K20" s="70">
        <v>1720</v>
      </c>
      <c r="L20" s="70">
        <v>123.7</v>
      </c>
      <c r="M20" s="70">
        <v>36.75</v>
      </c>
      <c r="N20" s="70">
        <v>156.47999999999999</v>
      </c>
      <c r="O20" s="70">
        <v>464</v>
      </c>
      <c r="P20" s="70">
        <v>234.75</v>
      </c>
      <c r="Q20" s="70">
        <v>136.44</v>
      </c>
      <c r="R20" s="70">
        <v>96.12</v>
      </c>
      <c r="S20" s="70">
        <v>106.43</v>
      </c>
      <c r="T20" s="68">
        <f t="shared" si="0"/>
        <v>6086.0599999999995</v>
      </c>
    </row>
    <row r="21" spans="1:20" ht="26.25" x14ac:dyDescent="0.25">
      <c r="A21" s="9">
        <v>2240</v>
      </c>
      <c r="B21" s="4" t="s">
        <v>36</v>
      </c>
      <c r="C21" s="70">
        <v>1058.28</v>
      </c>
      <c r="D21" s="70">
        <v>586.23</v>
      </c>
      <c r="E21" s="70">
        <v>5364.76</v>
      </c>
      <c r="F21" s="70">
        <v>43.04</v>
      </c>
      <c r="G21" s="70">
        <v>315.41000000000003</v>
      </c>
      <c r="H21" s="70">
        <v>1014.26</v>
      </c>
      <c r="I21" s="70">
        <v>3382.25</v>
      </c>
      <c r="J21" s="70">
        <v>190.36</v>
      </c>
      <c r="K21" s="70">
        <v>7030</v>
      </c>
      <c r="L21" s="70">
        <v>1263.44</v>
      </c>
      <c r="M21" s="70">
        <v>581.29999999999995</v>
      </c>
      <c r="N21" s="70">
        <v>487.42</v>
      </c>
      <c r="O21" s="70">
        <v>2843</v>
      </c>
      <c r="P21" s="70">
        <v>701.83</v>
      </c>
      <c r="Q21" s="70">
        <v>1736.72</v>
      </c>
      <c r="R21" s="70">
        <v>6.31</v>
      </c>
      <c r="S21" s="70">
        <v>267.8</v>
      </c>
      <c r="T21" s="68">
        <f t="shared" si="0"/>
        <v>26872.409999999996</v>
      </c>
    </row>
    <row r="22" spans="1:20" ht="15" x14ac:dyDescent="0.25">
      <c r="A22" s="9">
        <v>2250</v>
      </c>
      <c r="B22" s="4" t="s">
        <v>5</v>
      </c>
      <c r="C22" s="70">
        <v>0</v>
      </c>
      <c r="D22" s="70">
        <v>56.75</v>
      </c>
      <c r="E22" s="70">
        <v>0</v>
      </c>
      <c r="F22" s="70">
        <v>155.5</v>
      </c>
      <c r="G22" s="70">
        <v>0</v>
      </c>
      <c r="H22" s="70">
        <v>226.04</v>
      </c>
      <c r="I22" s="70">
        <v>8.39</v>
      </c>
      <c r="J22" s="70">
        <v>163.07</v>
      </c>
      <c r="K22" s="70">
        <v>491</v>
      </c>
      <c r="L22" s="70">
        <v>157.32</v>
      </c>
      <c r="M22" s="70">
        <v>0</v>
      </c>
      <c r="N22" s="70">
        <v>0</v>
      </c>
      <c r="O22" s="70">
        <v>148</v>
      </c>
      <c r="P22" s="70">
        <v>0</v>
      </c>
      <c r="Q22" s="70">
        <v>504.19</v>
      </c>
      <c r="R22" s="70">
        <v>0</v>
      </c>
      <c r="S22" s="70">
        <v>0</v>
      </c>
      <c r="T22" s="68">
        <f t="shared" si="0"/>
        <v>1910.26</v>
      </c>
    </row>
    <row r="23" spans="1:20" ht="15" x14ac:dyDescent="0.25">
      <c r="A23" s="9">
        <v>2260</v>
      </c>
      <c r="B23" s="4" t="s">
        <v>37</v>
      </c>
      <c r="C23" s="70">
        <v>427.2</v>
      </c>
      <c r="D23" s="70">
        <v>232.39</v>
      </c>
      <c r="E23" s="70">
        <v>508.58</v>
      </c>
      <c r="F23" s="70">
        <v>12.9</v>
      </c>
      <c r="G23" s="70">
        <v>0</v>
      </c>
      <c r="H23" s="70">
        <v>329.17</v>
      </c>
      <c r="I23" s="70">
        <v>0</v>
      </c>
      <c r="J23" s="70">
        <v>123.02</v>
      </c>
      <c r="K23" s="70"/>
      <c r="L23" s="70">
        <v>194.83</v>
      </c>
      <c r="M23" s="70">
        <v>0</v>
      </c>
      <c r="N23" s="70">
        <v>0</v>
      </c>
      <c r="O23" s="70">
        <v>29</v>
      </c>
      <c r="P23" s="70">
        <v>114.95</v>
      </c>
      <c r="Q23" s="70">
        <v>747.86</v>
      </c>
      <c r="R23" s="70">
        <v>9.3699999999999992</v>
      </c>
      <c r="S23" s="70">
        <v>0</v>
      </c>
      <c r="T23" s="68">
        <f t="shared" si="0"/>
        <v>2729.27</v>
      </c>
    </row>
    <row r="24" spans="1:20" ht="26.25" x14ac:dyDescent="0.25">
      <c r="A24" s="8">
        <v>2300</v>
      </c>
      <c r="B24" s="2" t="s">
        <v>38</v>
      </c>
      <c r="C24" s="69">
        <f t="shared" ref="C24:S24" si="2">SUM(C25:C30)</f>
        <v>3981.0399999999995</v>
      </c>
      <c r="D24" s="69">
        <f t="shared" si="2"/>
        <v>2695.73</v>
      </c>
      <c r="E24" s="69">
        <f t="shared" si="2"/>
        <v>6051.6900000000005</v>
      </c>
      <c r="F24" s="69">
        <f t="shared" si="2"/>
        <v>1437.63</v>
      </c>
      <c r="G24" s="69">
        <f t="shared" si="2"/>
        <v>735.24</v>
      </c>
      <c r="H24" s="69">
        <f t="shared" si="2"/>
        <v>2066.85</v>
      </c>
      <c r="I24" s="69">
        <f t="shared" si="2"/>
        <v>4959.96</v>
      </c>
      <c r="J24" s="69">
        <f t="shared" si="2"/>
        <v>1600.27</v>
      </c>
      <c r="K24" s="69">
        <f t="shared" si="2"/>
        <v>7423</v>
      </c>
      <c r="L24" s="69">
        <f t="shared" si="2"/>
        <v>3133.3700000000003</v>
      </c>
      <c r="M24" s="69">
        <f t="shared" si="2"/>
        <v>3872.4900000000002</v>
      </c>
      <c r="N24" s="69">
        <f t="shared" si="2"/>
        <v>2530.0999999999995</v>
      </c>
      <c r="O24" s="69">
        <f t="shared" si="2"/>
        <v>6118</v>
      </c>
      <c r="P24" s="69">
        <f t="shared" si="2"/>
        <v>3081.13</v>
      </c>
      <c r="Q24" s="69">
        <f t="shared" si="2"/>
        <v>12457.81</v>
      </c>
      <c r="R24" s="69">
        <f t="shared" si="2"/>
        <v>1955.3400000000001</v>
      </c>
      <c r="S24" s="69">
        <f t="shared" si="2"/>
        <v>2920.6499999999996</v>
      </c>
      <c r="T24" s="68">
        <f t="shared" si="0"/>
        <v>67020.3</v>
      </c>
    </row>
    <row r="25" spans="1:20" ht="15" x14ac:dyDescent="0.25">
      <c r="A25" s="11">
        <v>2310</v>
      </c>
      <c r="B25" s="4" t="s">
        <v>39</v>
      </c>
      <c r="C25" s="70">
        <v>1334.87</v>
      </c>
      <c r="D25" s="70">
        <v>362.47</v>
      </c>
      <c r="E25" s="70">
        <v>1190.99</v>
      </c>
      <c r="F25" s="70">
        <v>640.11</v>
      </c>
      <c r="G25" s="70">
        <v>283.07</v>
      </c>
      <c r="H25" s="70">
        <v>1075.0999999999999</v>
      </c>
      <c r="I25" s="70">
        <v>1556.74</v>
      </c>
      <c r="J25" s="70">
        <v>618.46</v>
      </c>
      <c r="K25" s="70">
        <v>3274</v>
      </c>
      <c r="L25" s="70">
        <v>1350.38</v>
      </c>
      <c r="M25" s="70">
        <v>271.76</v>
      </c>
      <c r="N25" s="70">
        <v>977.97</v>
      </c>
      <c r="O25" s="70">
        <v>2414</v>
      </c>
      <c r="P25" s="70">
        <v>1561.14</v>
      </c>
      <c r="Q25" s="70">
        <v>2517.9699999999998</v>
      </c>
      <c r="R25" s="70">
        <v>243.96</v>
      </c>
      <c r="S25" s="70">
        <v>218.05</v>
      </c>
      <c r="T25" s="68">
        <f t="shared" si="0"/>
        <v>19891.04</v>
      </c>
    </row>
    <row r="26" spans="1:20" ht="26.25" x14ac:dyDescent="0.25">
      <c r="A26" s="11">
        <v>2320</v>
      </c>
      <c r="B26" s="4" t="s">
        <v>6</v>
      </c>
      <c r="C26" s="70">
        <v>17.37</v>
      </c>
      <c r="D26" s="70">
        <v>0</v>
      </c>
      <c r="E26" s="70">
        <v>0</v>
      </c>
      <c r="F26" s="70">
        <v>0</v>
      </c>
      <c r="G26" s="70">
        <v>0</v>
      </c>
      <c r="H26" s="70">
        <v>7.43</v>
      </c>
      <c r="I26" s="70">
        <v>0</v>
      </c>
      <c r="J26" s="70">
        <v>23.85</v>
      </c>
      <c r="K26" s="70">
        <v>0</v>
      </c>
      <c r="L26" s="70">
        <v>0</v>
      </c>
      <c r="M26" s="70">
        <v>2855.21</v>
      </c>
      <c r="N26" s="70">
        <v>0</v>
      </c>
      <c r="O26" s="70">
        <v>0</v>
      </c>
      <c r="P26" s="70">
        <v>2.0099999999999998</v>
      </c>
      <c r="Q26" s="70">
        <v>7115.91</v>
      </c>
      <c r="R26" s="70">
        <v>1525.44</v>
      </c>
      <c r="S26" s="70">
        <v>470.78</v>
      </c>
      <c r="T26" s="68">
        <f t="shared" si="0"/>
        <v>12018.000000000002</v>
      </c>
    </row>
    <row r="27" spans="1:20" ht="26.25" x14ac:dyDescent="0.25">
      <c r="A27" s="11">
        <v>2340</v>
      </c>
      <c r="B27" s="4" t="s">
        <v>40</v>
      </c>
      <c r="C27" s="70">
        <v>3.94</v>
      </c>
      <c r="D27" s="70">
        <v>5.69</v>
      </c>
      <c r="E27" s="70">
        <v>72.34</v>
      </c>
      <c r="F27" s="70">
        <v>0</v>
      </c>
      <c r="G27" s="70">
        <v>10.14</v>
      </c>
      <c r="H27" s="70">
        <v>2.3199999999999998</v>
      </c>
      <c r="I27" s="70">
        <v>89.48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52</v>
      </c>
      <c r="P27" s="70">
        <v>34.880000000000003</v>
      </c>
      <c r="Q27" s="70">
        <v>38.950000000000003</v>
      </c>
      <c r="R27" s="70">
        <v>0</v>
      </c>
      <c r="S27" s="70">
        <v>0</v>
      </c>
      <c r="T27" s="68">
        <f t="shared" si="0"/>
        <v>309.74</v>
      </c>
    </row>
    <row r="28" spans="1:20" ht="15" x14ac:dyDescent="0.25">
      <c r="A28" s="11">
        <v>2350</v>
      </c>
      <c r="B28" s="4" t="s">
        <v>7</v>
      </c>
      <c r="C28" s="70">
        <v>2159.7199999999998</v>
      </c>
      <c r="D28" s="70">
        <v>2039.49</v>
      </c>
      <c r="E28" s="70">
        <v>2571.3000000000002</v>
      </c>
      <c r="F28" s="70">
        <v>567.58000000000004</v>
      </c>
      <c r="G28" s="70">
        <v>371.08</v>
      </c>
      <c r="H28" s="70">
        <v>769.6</v>
      </c>
      <c r="I28" s="70">
        <v>3172.19</v>
      </c>
      <c r="J28" s="70">
        <v>455.14</v>
      </c>
      <c r="K28" s="70">
        <v>2981</v>
      </c>
      <c r="L28" s="70">
        <v>1388.51</v>
      </c>
      <c r="M28" s="70">
        <v>638.71</v>
      </c>
      <c r="N28" s="70">
        <v>1444.27</v>
      </c>
      <c r="O28" s="70">
        <v>2099</v>
      </c>
      <c r="P28" s="70">
        <v>1342.99</v>
      </c>
      <c r="Q28" s="70">
        <v>2267.41</v>
      </c>
      <c r="R28" s="70">
        <v>165.9</v>
      </c>
      <c r="S28" s="70">
        <v>1995.82</v>
      </c>
      <c r="T28" s="68">
        <f t="shared" si="0"/>
        <v>26429.71</v>
      </c>
    </row>
    <row r="29" spans="1:20" ht="26.25" x14ac:dyDescent="0.25">
      <c r="A29" s="11">
        <v>2360</v>
      </c>
      <c r="B29" s="4" t="s">
        <v>41</v>
      </c>
      <c r="C29" s="70">
        <v>134.37</v>
      </c>
      <c r="D29" s="70">
        <v>38.92</v>
      </c>
      <c r="E29" s="70">
        <v>1398.09</v>
      </c>
      <c r="F29" s="70">
        <v>87.66</v>
      </c>
      <c r="G29" s="70">
        <v>0</v>
      </c>
      <c r="H29" s="70">
        <v>40.49</v>
      </c>
      <c r="I29" s="70">
        <v>90.52</v>
      </c>
      <c r="J29" s="70">
        <v>134.75</v>
      </c>
      <c r="K29" s="70">
        <v>0</v>
      </c>
      <c r="L29" s="70">
        <v>52.84</v>
      </c>
      <c r="M29" s="70">
        <v>0</v>
      </c>
      <c r="N29" s="70">
        <v>3.95</v>
      </c>
      <c r="O29" s="70">
        <v>467</v>
      </c>
      <c r="P29" s="70">
        <v>109.37</v>
      </c>
      <c r="Q29" s="70">
        <v>80.989999999999995</v>
      </c>
      <c r="R29" s="70">
        <v>8.11</v>
      </c>
      <c r="S29" s="70">
        <v>187.03</v>
      </c>
      <c r="T29" s="68">
        <f t="shared" si="0"/>
        <v>2834.09</v>
      </c>
    </row>
    <row r="30" spans="1:20" ht="15" x14ac:dyDescent="0.25">
      <c r="A30" s="11">
        <v>2370</v>
      </c>
      <c r="B30" s="20" t="s">
        <v>33</v>
      </c>
      <c r="C30" s="70">
        <v>330.77</v>
      </c>
      <c r="D30" s="70">
        <v>249.16</v>
      </c>
      <c r="E30" s="70">
        <v>818.97</v>
      </c>
      <c r="F30" s="70">
        <v>142.28</v>
      </c>
      <c r="G30" s="70">
        <v>70.95</v>
      </c>
      <c r="H30" s="70">
        <v>171.91</v>
      </c>
      <c r="I30" s="70">
        <v>51.03</v>
      </c>
      <c r="J30" s="70">
        <v>368.07</v>
      </c>
      <c r="K30" s="70">
        <v>1168</v>
      </c>
      <c r="L30" s="70">
        <v>341.64</v>
      </c>
      <c r="M30" s="70">
        <v>106.81</v>
      </c>
      <c r="N30" s="70">
        <v>103.91</v>
      </c>
      <c r="O30" s="70">
        <v>1086</v>
      </c>
      <c r="P30" s="70">
        <v>30.74</v>
      </c>
      <c r="Q30" s="70">
        <v>436.58</v>
      </c>
      <c r="R30" s="70">
        <v>11.93</v>
      </c>
      <c r="S30" s="70">
        <v>48.97</v>
      </c>
      <c r="T30" s="68">
        <f t="shared" si="0"/>
        <v>5537.7199999999993</v>
      </c>
    </row>
    <row r="31" spans="1:20" ht="15" x14ac:dyDescent="0.25">
      <c r="A31" s="10">
        <v>2400</v>
      </c>
      <c r="B31" s="2" t="s">
        <v>8</v>
      </c>
      <c r="C31" s="69">
        <v>0</v>
      </c>
      <c r="D31" s="69">
        <v>0</v>
      </c>
      <c r="E31" s="69">
        <v>36.450000000000003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/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62.81</v>
      </c>
      <c r="R31" s="69">
        <v>0</v>
      </c>
      <c r="S31" s="69">
        <v>0</v>
      </c>
      <c r="T31" s="68">
        <f t="shared" si="0"/>
        <v>99.26</v>
      </c>
    </row>
    <row r="32" spans="1:20" ht="15" x14ac:dyDescent="0.25">
      <c r="A32" s="10">
        <v>5233</v>
      </c>
      <c r="B32" s="21" t="s">
        <v>34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53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8">
        <f t="shared" si="0"/>
        <v>53</v>
      </c>
    </row>
    <row r="33" spans="1:21" ht="18" customHeight="1" x14ac:dyDescent="0.25">
      <c r="A33" s="82" t="s">
        <v>9</v>
      </c>
      <c r="B33" s="83"/>
      <c r="C33" s="80">
        <f t="shared" ref="C33:S33" si="3">C14+C15+C16+C17+C24+C31+C32</f>
        <v>59276.26</v>
      </c>
      <c r="D33" s="80">
        <f t="shared" si="3"/>
        <v>109963.30999999998</v>
      </c>
      <c r="E33" s="80">
        <f t="shared" si="3"/>
        <v>174426.58000000002</v>
      </c>
      <c r="F33" s="80">
        <f t="shared" si="3"/>
        <v>30204.95</v>
      </c>
      <c r="G33" s="80">
        <f t="shared" si="3"/>
        <v>22420.99</v>
      </c>
      <c r="H33" s="80">
        <f t="shared" si="3"/>
        <v>61871.19</v>
      </c>
      <c r="I33" s="80">
        <f t="shared" si="3"/>
        <v>94146.98000000001</v>
      </c>
      <c r="J33" s="80">
        <f t="shared" si="3"/>
        <v>27867.21</v>
      </c>
      <c r="K33" s="80">
        <f t="shared" si="3"/>
        <v>112879.70999999999</v>
      </c>
      <c r="L33" s="80">
        <f t="shared" si="3"/>
        <v>58161.760000000002</v>
      </c>
      <c r="M33" s="80">
        <f t="shared" si="3"/>
        <v>17623.55</v>
      </c>
      <c r="N33" s="80">
        <f t="shared" si="3"/>
        <v>25940.47</v>
      </c>
      <c r="O33" s="80">
        <f t="shared" si="3"/>
        <v>111959</v>
      </c>
      <c r="P33" s="80">
        <f t="shared" si="3"/>
        <v>44163.42</v>
      </c>
      <c r="Q33" s="80">
        <f t="shared" si="3"/>
        <v>117297.49</v>
      </c>
      <c r="R33" s="80">
        <f t="shared" si="3"/>
        <v>15088.5</v>
      </c>
      <c r="S33" s="80">
        <f t="shared" si="3"/>
        <v>24016.43</v>
      </c>
      <c r="T33" s="80">
        <f t="shared" si="0"/>
        <v>1107307.8</v>
      </c>
    </row>
    <row r="34" spans="1:21" ht="30" customHeight="1" x14ac:dyDescent="0.25">
      <c r="A34" s="82" t="s">
        <v>55</v>
      </c>
      <c r="B34" s="85"/>
      <c r="C34" s="81">
        <f t="shared" ref="C34:T34" si="4">C33/12/C12</f>
        <v>114.87647286821706</v>
      </c>
      <c r="D34" s="81">
        <f t="shared" si="4"/>
        <v>95.454262152777758</v>
      </c>
      <c r="E34" s="81">
        <f t="shared" si="4"/>
        <v>105.33006038647343</v>
      </c>
      <c r="F34" s="81">
        <f t="shared" si="4"/>
        <v>132.47785087719299</v>
      </c>
      <c r="G34" s="81">
        <f t="shared" si="4"/>
        <v>84.927992424242433</v>
      </c>
      <c r="H34" s="81">
        <f t="shared" si="4"/>
        <v>161.122890625</v>
      </c>
      <c r="I34" s="81">
        <f t="shared" si="4"/>
        <v>217.93282407407412</v>
      </c>
      <c r="J34" s="81">
        <f t="shared" si="4"/>
        <v>145.14171875</v>
      </c>
      <c r="K34" s="81">
        <f t="shared" si="4"/>
        <v>200.14132978723404</v>
      </c>
      <c r="L34" s="81">
        <f t="shared" si="4"/>
        <v>173.1004761904762</v>
      </c>
      <c r="M34" s="81">
        <f t="shared" si="4"/>
        <v>209.80416666666665</v>
      </c>
      <c r="N34" s="81">
        <f t="shared" si="4"/>
        <v>154.40755952380954</v>
      </c>
      <c r="O34" s="81">
        <f t="shared" si="4"/>
        <v>245.52412280701753</v>
      </c>
      <c r="P34" s="81">
        <f t="shared" si="4"/>
        <v>141.54942307692306</v>
      </c>
      <c r="Q34" s="81">
        <f t="shared" si="4"/>
        <v>174.54983630952384</v>
      </c>
      <c r="R34" s="81">
        <f t="shared" si="4"/>
        <v>139.70833333333334</v>
      </c>
      <c r="S34" s="81">
        <f t="shared" si="4"/>
        <v>166.78076388888888</v>
      </c>
      <c r="T34" s="81">
        <f t="shared" si="4"/>
        <v>144.40633802816902</v>
      </c>
    </row>
    <row r="35" spans="1:21" x14ac:dyDescent="0.2">
      <c r="D35" s="6"/>
    </row>
    <row r="36" spans="1:21" x14ac:dyDescent="0.2">
      <c r="B36" s="12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57"/>
      <c r="U36" s="15"/>
    </row>
    <row r="37" spans="1:21" x14ac:dyDescent="0.2">
      <c r="B37" s="28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58"/>
      <c r="U37" s="15"/>
    </row>
    <row r="39" spans="1:21" x14ac:dyDescent="0.2">
      <c r="C39" s="13"/>
      <c r="D39" s="13"/>
      <c r="E39" s="13"/>
      <c r="H39" s="15"/>
      <c r="I39" s="15"/>
    </row>
    <row r="41" spans="1:21" x14ac:dyDescent="0.2">
      <c r="E41" s="13"/>
    </row>
  </sheetData>
  <mergeCells count="3">
    <mergeCell ref="A33:B33"/>
    <mergeCell ref="A34:B34"/>
    <mergeCell ref="A13:F13"/>
  </mergeCells>
  <pageMargins left="0.25" right="0.25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workbookViewId="0">
      <pane ySplit="11" topLeftCell="A12" activePane="bottomLeft" state="frozen"/>
      <selection pane="bottomLeft" activeCell="H3" sqref="H3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11.28515625" customWidth="1"/>
    <col min="6" max="6" width="9.5703125" customWidth="1"/>
    <col min="7" max="7" width="11.140625" customWidth="1"/>
    <col min="8" max="8" width="13.28515625" customWidth="1"/>
    <col min="9" max="9" width="9.5703125" customWidth="1"/>
    <col min="10" max="11" width="10.85546875" customWidth="1"/>
    <col min="12" max="12" width="10.7109375" customWidth="1"/>
    <col min="13" max="13" width="9.5703125" customWidth="1"/>
    <col min="14" max="14" width="9.7109375" customWidth="1"/>
    <col min="15" max="15" width="12.85546875" customWidth="1"/>
    <col min="16" max="16" width="13.28515625" customWidth="1"/>
    <col min="17" max="17" width="11.28515625" customWidth="1"/>
    <col min="18" max="18" width="11.42578125" customWidth="1"/>
    <col min="19" max="19" width="9.140625" customWidth="1"/>
    <col min="20" max="20" width="12.85546875" style="13" customWidth="1"/>
    <col min="21" max="21" width="9.140625" customWidth="1"/>
  </cols>
  <sheetData>
    <row r="1" spans="1:20" x14ac:dyDescent="0.2">
      <c r="C1" t="s">
        <v>77</v>
      </c>
    </row>
    <row r="2" spans="1:20" x14ac:dyDescent="0.2">
      <c r="C2" s="88" t="s">
        <v>78</v>
      </c>
    </row>
    <row r="3" spans="1:20" x14ac:dyDescent="0.2">
      <c r="C3" s="88" t="s">
        <v>79</v>
      </c>
    </row>
    <row r="4" spans="1:20" x14ac:dyDescent="0.2">
      <c r="C4" s="88" t="s">
        <v>80</v>
      </c>
    </row>
    <row r="7" spans="1:20" ht="15" x14ac:dyDescent="0.2">
      <c r="B7" s="7" t="s">
        <v>61</v>
      </c>
    </row>
    <row r="8" spans="1:20" x14ac:dyDescent="0.2">
      <c r="A8" s="1"/>
      <c r="B8" s="3" t="s">
        <v>60</v>
      </c>
      <c r="C8" s="1"/>
    </row>
    <row r="9" spans="1:20" x14ac:dyDescent="0.2">
      <c r="A9" s="1"/>
      <c r="B9" s="3"/>
      <c r="C9" s="1"/>
    </row>
    <row r="10" spans="1:20" x14ac:dyDescent="0.2">
      <c r="A10" s="40"/>
      <c r="B10" s="3"/>
    </row>
    <row r="11" spans="1:20" s="19" customFormat="1" ht="53.25" customHeight="1" x14ac:dyDescent="0.2">
      <c r="A11" s="45" t="s">
        <v>1</v>
      </c>
      <c r="B11" s="46" t="s">
        <v>0</v>
      </c>
      <c r="C11" s="24" t="s">
        <v>22</v>
      </c>
      <c r="D11" s="24" t="s">
        <v>23</v>
      </c>
      <c r="E11" s="24" t="s">
        <v>24</v>
      </c>
      <c r="F11" s="24" t="s">
        <v>25</v>
      </c>
      <c r="G11" s="24" t="s">
        <v>12</v>
      </c>
      <c r="H11" s="24" t="s">
        <v>26</v>
      </c>
      <c r="I11" s="24" t="s">
        <v>64</v>
      </c>
      <c r="J11" s="24" t="s">
        <v>27</v>
      </c>
      <c r="K11" s="37" t="s">
        <v>66</v>
      </c>
      <c r="L11" s="24" t="s">
        <v>28</v>
      </c>
      <c r="M11" s="24" t="s">
        <v>75</v>
      </c>
      <c r="N11" s="24" t="s">
        <v>17</v>
      </c>
      <c r="O11" s="24" t="s">
        <v>69</v>
      </c>
      <c r="P11" s="24" t="s">
        <v>32</v>
      </c>
      <c r="Q11" s="24" t="s">
        <v>29</v>
      </c>
      <c r="R11" s="24" t="s">
        <v>56</v>
      </c>
      <c r="S11" s="24" t="s">
        <v>20</v>
      </c>
      <c r="T11" s="24" t="s">
        <v>21</v>
      </c>
    </row>
    <row r="12" spans="1:20" ht="21" customHeight="1" x14ac:dyDescent="0.25">
      <c r="A12" s="30"/>
      <c r="B12" s="20" t="s">
        <v>63</v>
      </c>
      <c r="C12" s="39">
        <f>'bērni līdz 5 gadiem'!C12+'bērni no 5.gadu vec.'!C12</f>
        <v>104</v>
      </c>
      <c r="D12" s="39">
        <f>'bērni līdz 5 gadiem'!D12+'bērni no 5.gadu vec.'!D12</f>
        <v>225</v>
      </c>
      <c r="E12" s="39">
        <f>'bērni līdz 5 gadiem'!E12+'bērni no 5.gadu vec.'!E12</f>
        <v>318</v>
      </c>
      <c r="F12" s="39">
        <f>'bērni līdz 5 gadiem'!F12+'bērni no 5.gadu vec.'!F12</f>
        <v>40</v>
      </c>
      <c r="G12" s="39">
        <f>'bērni līdz 5 gadiem'!G12+'bērni no 5.gadu vec.'!G12</f>
        <v>58</v>
      </c>
      <c r="H12" s="39">
        <f>'bērni līdz 5 gadiem'!H12+'bērni no 5.gadu vec.'!H12</f>
        <v>74</v>
      </c>
      <c r="I12" s="39">
        <f>'bērni līdz 5 gadiem'!I12+'bērni no 5.gadu vec.'!I12</f>
        <v>103</v>
      </c>
      <c r="J12" s="39">
        <f>'bērni līdz 5 gadiem'!J12+'bērni no 5.gadu vec.'!J12</f>
        <v>39</v>
      </c>
      <c r="K12" s="39">
        <f>'bērni līdz 5 gadiem'!K12+'bērni no 5.gadu vec.'!K12</f>
        <v>107</v>
      </c>
      <c r="L12" s="39">
        <f>'bērni līdz 5 gadiem'!L12+'bērni no 5.gadu vec.'!L12</f>
        <v>63</v>
      </c>
      <c r="M12" s="39">
        <f>'bērni līdz 5 gadiem'!M12+'bērni no 5.gadu vec.'!M12</f>
        <v>12</v>
      </c>
      <c r="N12" s="39">
        <f>'bērni līdz 5 gadiem'!N12+'bērni no 5.gadu vec.'!N12</f>
        <v>42</v>
      </c>
      <c r="O12" s="39">
        <f>'bērni līdz 5 gadiem'!O12+'bērni no 5.gadu vec.'!O12</f>
        <v>85</v>
      </c>
      <c r="P12" s="39">
        <f>'bērni līdz 5 gadiem'!P12+'bērni no 5.gadu vec.'!P12</f>
        <v>58</v>
      </c>
      <c r="Q12" s="39">
        <f>'bērni līdz 5 gadiem'!Q12+'bērni no 5.gadu vec.'!Q12</f>
        <v>115</v>
      </c>
      <c r="R12" s="39">
        <f>'bērni līdz 5 gadiem'!R12+'bērni no 5.gadu vec.'!R12</f>
        <v>25</v>
      </c>
      <c r="S12" s="39">
        <f>'bērni līdz 5 gadiem'!S12+'bērni no 5.gadu vec.'!S12</f>
        <v>23</v>
      </c>
      <c r="T12" s="71">
        <f>C12+D12+E12+F12+G12+H12+J12+L12+M12+N12+P12+Q12+R12+S12+I12+K12+O12</f>
        <v>1491</v>
      </c>
    </row>
    <row r="13" spans="1:20" ht="26.25" customHeight="1" x14ac:dyDescent="0.25">
      <c r="A13" s="86" t="s">
        <v>57</v>
      </c>
      <c r="B13" s="87"/>
      <c r="C13" s="87"/>
      <c r="D13" s="87"/>
      <c r="E13" s="87"/>
      <c r="F13" s="87"/>
      <c r="T13" s="56"/>
    </row>
    <row r="14" spans="1:20" ht="39" x14ac:dyDescent="0.25">
      <c r="A14" s="8">
        <v>1100</v>
      </c>
      <c r="B14" s="2" t="s">
        <v>42</v>
      </c>
      <c r="C14" s="72">
        <f>'bērni līdz 5 gadiem'!C14+'bērni no 5.gadu vec.'!C14</f>
        <v>149320.19999999998</v>
      </c>
      <c r="D14" s="72">
        <f>'bērni līdz 5 gadiem'!D14+'bērni no 5.gadu vec.'!D14</f>
        <v>292937.52999999997</v>
      </c>
      <c r="E14" s="72">
        <f>'bērni līdz 5 gadiem'!E14+'bērni no 5.gadu vec.'!E14</f>
        <v>378673.91</v>
      </c>
      <c r="F14" s="72">
        <f>'bērni līdz 5 gadiem'!F14+'bērni no 5.gadu vec.'!F14</f>
        <v>60571.49</v>
      </c>
      <c r="G14" s="72">
        <f>'bērni līdz 5 gadiem'!G14+'bērni no 5.gadu vec.'!G14</f>
        <v>66354.13</v>
      </c>
      <c r="H14" s="72">
        <f>'bērni līdz 5 gadiem'!H14+'bērni no 5.gadu vec.'!H14</f>
        <v>112993.87999999999</v>
      </c>
      <c r="I14" s="72">
        <f>'bērni līdz 5 gadiem'!I14+'bērni no 5.gadu vec.'!I14</f>
        <v>240404.99999999997</v>
      </c>
      <c r="J14" s="72">
        <f>'bērni līdz 5 gadiem'!J14+'bērni no 5.gadu vec.'!J14</f>
        <v>64736.229999999996</v>
      </c>
      <c r="K14" s="72">
        <f>'bērni līdz 5 gadiem'!K14+'bērni no 5.gadu vec.'!K14</f>
        <v>215477</v>
      </c>
      <c r="L14" s="72">
        <f>'bērni līdz 5 gadiem'!L14+'bērni no 5.gadu vec.'!L14</f>
        <v>115995.84</v>
      </c>
      <c r="M14" s="72">
        <f>'bērni līdz 5 gadiem'!M14+'bērni no 5.gadu vec.'!M14</f>
        <v>24094.239999999998</v>
      </c>
      <c r="N14" s="72">
        <f>'bērni līdz 5 gadiem'!N14+'bērni no 5.gadu vec.'!N14</f>
        <v>75375.56</v>
      </c>
      <c r="O14" s="72">
        <f>'bērni līdz 5 gadiem'!O14+'bērni no 5.gadu vec.'!O14</f>
        <v>175472</v>
      </c>
      <c r="P14" s="72">
        <f>'bērni līdz 5 gadiem'!P14+'bērni no 5.gadu vec.'!P14</f>
        <v>78919.59</v>
      </c>
      <c r="Q14" s="72">
        <f>'bērni līdz 5 gadiem'!Q14+'bērni no 5.gadu vec.'!Q14</f>
        <v>219414.18</v>
      </c>
      <c r="R14" s="72">
        <f>'bērni līdz 5 gadiem'!R14+'bērni no 5.gadu vec.'!R14</f>
        <v>45408.14</v>
      </c>
      <c r="S14" s="72">
        <f>'bērni līdz 5 gadiem'!S14+'bērni no 5.gadu vec.'!S14</f>
        <v>40611.509999999995</v>
      </c>
      <c r="T14" s="68">
        <f>C14+D14+E14+F14+G14+H14+J14+L14+M14+N14+P14+Q14+R14+S14+I14+K14+O14</f>
        <v>2356760.4299999997</v>
      </c>
    </row>
    <row r="15" spans="1:20" ht="51.75" x14ac:dyDescent="0.25">
      <c r="A15" s="8">
        <v>1200</v>
      </c>
      <c r="B15" s="2" t="s">
        <v>44</v>
      </c>
      <c r="C15" s="72">
        <f>'bērni līdz 5 gadiem'!C15+'bērni no 5.gadu vec.'!C15</f>
        <v>42047.97</v>
      </c>
      <c r="D15" s="72">
        <f>'bērni līdz 5 gadiem'!D15+'bērni no 5.gadu vec.'!D15</f>
        <v>78588.040000000008</v>
      </c>
      <c r="E15" s="72">
        <f>'bērni līdz 5 gadiem'!E15+'bērni no 5.gadu vec.'!E15</f>
        <v>101835.74</v>
      </c>
      <c r="F15" s="72">
        <f>'bērni līdz 5 gadiem'!F15+'bērni no 5.gadu vec.'!F15</f>
        <v>16047.2</v>
      </c>
      <c r="G15" s="72">
        <f>'bērni līdz 5 gadiem'!G15+'bērni no 5.gadu vec.'!G15</f>
        <v>17150.39</v>
      </c>
      <c r="H15" s="72">
        <f>'bērni līdz 5 gadiem'!H15+'bērni no 5.gadu vec.'!H15</f>
        <v>32616.36</v>
      </c>
      <c r="I15" s="72">
        <f>'bērni līdz 5 gadiem'!I15+'bērni no 5.gadu vec.'!I15</f>
        <v>57487</v>
      </c>
      <c r="J15" s="72">
        <f>'bērni līdz 5 gadiem'!J15+'bērni no 5.gadu vec.'!J15</f>
        <v>16964.02</v>
      </c>
      <c r="K15" s="72">
        <f>'bērni līdz 5 gadiem'!K15+'bērni no 5.gadu vec.'!K15</f>
        <v>55687</v>
      </c>
      <c r="L15" s="72">
        <f>'bērni līdz 5 gadiem'!L15+'bērni no 5.gadu vec.'!L15</f>
        <v>30774.449999999997</v>
      </c>
      <c r="M15" s="72">
        <f>'bērni līdz 5 gadiem'!M15+'bērni no 5.gadu vec.'!M15</f>
        <v>7016.5300000000007</v>
      </c>
      <c r="N15" s="72">
        <f>'bērni līdz 5 gadiem'!N15+'bērni no 5.gadu vec.'!N15</f>
        <v>18903</v>
      </c>
      <c r="O15" s="72">
        <f>'bērni līdz 5 gadiem'!O15+'bērni no 5.gadu vec.'!O15</f>
        <v>57740</v>
      </c>
      <c r="P15" s="72">
        <f>'bērni līdz 5 gadiem'!P15+'bērni no 5.gadu vec.'!P15</f>
        <v>22822.66</v>
      </c>
      <c r="Q15" s="72">
        <f>'bērni līdz 5 gadiem'!Q15+'bērni no 5.gadu vec.'!Q15</f>
        <v>61315.17</v>
      </c>
      <c r="R15" s="72">
        <f>'bērni līdz 5 gadiem'!R15+'bērni no 5.gadu vec.'!R15</f>
        <v>11790.580000000002</v>
      </c>
      <c r="S15" s="72">
        <f>'bērni līdz 5 gadiem'!S15+'bērni no 5.gadu vec.'!S15</f>
        <v>10586.69</v>
      </c>
      <c r="T15" s="68">
        <f t="shared" ref="T15:T32" si="0">C15+D15+E15+F15+G15+H15+J15+L15+M15+N15+P15+Q15+R15+S15+I15+K15+O15</f>
        <v>639372.80000000005</v>
      </c>
    </row>
    <row r="16" spans="1:20" ht="39" x14ac:dyDescent="0.25">
      <c r="A16" s="8">
        <v>2100</v>
      </c>
      <c r="B16" s="2" t="s">
        <v>35</v>
      </c>
      <c r="C16" s="72">
        <f>'bērni līdz 5 gadiem'!C16+'bērni no 5.gadu vec.'!C16</f>
        <v>0</v>
      </c>
      <c r="D16" s="72">
        <f>'bērni līdz 5 gadiem'!D16+'bērni no 5.gadu vec.'!D16</f>
        <v>0</v>
      </c>
      <c r="E16" s="72">
        <f>'bērni līdz 5 gadiem'!E16+'bērni no 5.gadu vec.'!E16</f>
        <v>0</v>
      </c>
      <c r="F16" s="72">
        <f>'bērni līdz 5 gadiem'!F16+'bērni no 5.gadu vec.'!F16</f>
        <v>0</v>
      </c>
      <c r="G16" s="72">
        <f>'bērni līdz 5 gadiem'!G16+'bērni no 5.gadu vec.'!G16</f>
        <v>0</v>
      </c>
      <c r="H16" s="72">
        <f>'bērni līdz 5 gadiem'!H16+'bērni no 5.gadu vec.'!H16</f>
        <v>0</v>
      </c>
      <c r="I16" s="72">
        <f>'bērni līdz 5 gadiem'!I16+'bērni no 5.gadu vec.'!I16</f>
        <v>0</v>
      </c>
      <c r="J16" s="72">
        <f>'bērni līdz 5 gadiem'!J16+'bērni no 5.gadu vec.'!J16</f>
        <v>0</v>
      </c>
      <c r="K16" s="72">
        <f>'bērni līdz 5 gadiem'!K16+'bērni no 5.gadu vec.'!K16</f>
        <v>0</v>
      </c>
      <c r="L16" s="72">
        <f>'bērni līdz 5 gadiem'!L16+'bērni no 5.gadu vec.'!L16</f>
        <v>0</v>
      </c>
      <c r="M16" s="72">
        <f>'bērni līdz 5 gadiem'!M16+'bērni no 5.gadu vec.'!M16</f>
        <v>0</v>
      </c>
      <c r="N16" s="72">
        <f>'bērni līdz 5 gadiem'!N16+'bērni no 5.gadu vec.'!N16</f>
        <v>0</v>
      </c>
      <c r="O16" s="72">
        <f>'bērni līdz 5 gadiem'!O16+'bērni no 5.gadu vec.'!O16</f>
        <v>0</v>
      </c>
      <c r="P16" s="72">
        <f>'bērni līdz 5 gadiem'!P16+'bērni no 5.gadu vec.'!P16</f>
        <v>0</v>
      </c>
      <c r="Q16" s="72">
        <f>'bērni līdz 5 gadiem'!Q16+'bērni no 5.gadu vec.'!Q16</f>
        <v>0</v>
      </c>
      <c r="R16" s="72">
        <f>'bērni līdz 5 gadiem'!R16+'bērni no 5.gadu vec.'!R16</f>
        <v>0</v>
      </c>
      <c r="S16" s="72">
        <f>'bērni līdz 5 gadiem'!S16+'bērni no 5.gadu vec.'!S16</f>
        <v>0</v>
      </c>
      <c r="T16" s="68">
        <f t="shared" si="0"/>
        <v>0</v>
      </c>
    </row>
    <row r="17" spans="1:20" ht="15" x14ac:dyDescent="0.25">
      <c r="A17" s="8">
        <v>2200</v>
      </c>
      <c r="B17" s="2" t="s">
        <v>43</v>
      </c>
      <c r="C17" s="69">
        <f t="shared" ref="C17:F17" si="1">SUM(C18:C23)</f>
        <v>15737.129999999997</v>
      </c>
      <c r="D17" s="69">
        <f t="shared" si="1"/>
        <v>43911.799999999996</v>
      </c>
      <c r="E17" s="69">
        <f t="shared" si="1"/>
        <v>96107.670000000013</v>
      </c>
      <c r="F17" s="69">
        <f t="shared" si="1"/>
        <v>11678.07</v>
      </c>
      <c r="G17" s="69">
        <f t="shared" ref="G17" si="2">SUM(G18:G23)</f>
        <v>8816.0099999999984</v>
      </c>
      <c r="H17" s="69">
        <f t="shared" ref="H17:J17" si="3">SUM(H18:H23)</f>
        <v>33694.289999999994</v>
      </c>
      <c r="I17" s="69">
        <f t="shared" si="3"/>
        <v>38436</v>
      </c>
      <c r="J17" s="69">
        <f t="shared" si="3"/>
        <v>8991.4000000000015</v>
      </c>
      <c r="K17" s="69">
        <f t="shared" ref="K17" si="4">SUM(K18:K23)</f>
        <v>54146.48</v>
      </c>
      <c r="L17" s="69">
        <f t="shared" ref="L17:S17" si="5">SUM(L18:L23)</f>
        <v>21224.589999999997</v>
      </c>
      <c r="M17" s="69">
        <f t="shared" si="5"/>
        <v>4686.47</v>
      </c>
      <c r="N17" s="69">
        <f t="shared" si="5"/>
        <v>16959.519999999997</v>
      </c>
      <c r="O17" s="69">
        <f t="shared" si="5"/>
        <v>41560</v>
      </c>
      <c r="P17" s="69">
        <f t="shared" si="5"/>
        <v>20453.86</v>
      </c>
      <c r="Q17" s="69">
        <f t="shared" si="5"/>
        <v>22903.43</v>
      </c>
      <c r="R17" s="69">
        <f t="shared" si="5"/>
        <v>5409.28</v>
      </c>
      <c r="S17" s="69">
        <f t="shared" si="5"/>
        <v>9153.3799999999992</v>
      </c>
      <c r="T17" s="68">
        <f t="shared" si="0"/>
        <v>453869.38</v>
      </c>
    </row>
    <row r="18" spans="1:20" ht="15" x14ac:dyDescent="0.25">
      <c r="A18" s="9">
        <v>2210</v>
      </c>
      <c r="B18" s="4" t="s">
        <v>2</v>
      </c>
      <c r="C18" s="70">
        <f>'bērni līdz 5 gadiem'!C18+'bērni no 5.gadu vec.'!C18</f>
        <v>906.21</v>
      </c>
      <c r="D18" s="70">
        <f>'bērni līdz 5 gadiem'!D18+'bērni no 5.gadu vec.'!D18</f>
        <v>965.81</v>
      </c>
      <c r="E18" s="70">
        <f>'bērni līdz 5 gadiem'!E18+'bērni no 5.gadu vec.'!E18</f>
        <v>1154.5899999999999</v>
      </c>
      <c r="F18" s="70">
        <f>'bērni līdz 5 gadiem'!F18+'bērni no 5.gadu vec.'!F18</f>
        <v>82.47999999999999</v>
      </c>
      <c r="G18" s="70">
        <f>'bērni līdz 5 gadiem'!G18+'bērni no 5.gadu vec.'!G18</f>
        <v>470.40000000000003</v>
      </c>
      <c r="H18" s="70">
        <f>'bērni līdz 5 gadiem'!H18+'bērni no 5.gadu vec.'!H18</f>
        <v>405.84000000000003</v>
      </c>
      <c r="I18" s="70">
        <f>'bērni līdz 5 gadiem'!I18+'bērni no 5.gadu vec.'!I18</f>
        <v>973</v>
      </c>
      <c r="J18" s="70">
        <f>'bērni līdz 5 gadiem'!J18+'bērni no 5.gadu vec.'!J18</f>
        <v>292.76</v>
      </c>
      <c r="K18" s="70">
        <f>'bērni līdz 5 gadiem'!K18+'bērni no 5.gadu vec.'!K18</f>
        <v>582.48</v>
      </c>
      <c r="L18" s="70">
        <f>'bērni līdz 5 gadiem'!L18+'bērni no 5.gadu vec.'!L18</f>
        <v>555.18000000000006</v>
      </c>
      <c r="M18" s="70">
        <f>'bērni līdz 5 gadiem'!M18+'bērni no 5.gadu vec.'!M18</f>
        <v>50.879999999999995</v>
      </c>
      <c r="N18" s="70">
        <f>'bērni līdz 5 gadiem'!N18+'bērni no 5.gadu vec.'!N18</f>
        <v>330.74</v>
      </c>
      <c r="O18" s="70">
        <f>'bērni līdz 5 gadiem'!O18+'bērni no 5.gadu vec.'!O18</f>
        <v>436</v>
      </c>
      <c r="P18" s="70">
        <f>'bērni līdz 5 gadiem'!P18+'bērni no 5.gadu vec.'!P18</f>
        <v>469</v>
      </c>
      <c r="Q18" s="70">
        <f>'bērni līdz 5 gadiem'!Q18+'bērni no 5.gadu vec.'!Q18</f>
        <v>525.61</v>
      </c>
      <c r="R18" s="70">
        <f>'bērni līdz 5 gadiem'!R18+'bērni no 5.gadu vec.'!R18</f>
        <v>0</v>
      </c>
      <c r="S18" s="70">
        <f>'bērni līdz 5 gadiem'!S18+'bērni no 5.gadu vec.'!S18</f>
        <v>847.54</v>
      </c>
      <c r="T18" s="68">
        <f t="shared" si="0"/>
        <v>9048.52</v>
      </c>
    </row>
    <row r="19" spans="1:20" ht="15" x14ac:dyDescent="0.25">
      <c r="A19" s="9">
        <v>2220</v>
      </c>
      <c r="B19" s="4" t="s">
        <v>3</v>
      </c>
      <c r="C19" s="70">
        <f>'bērni līdz 5 gadiem'!C19+'bērni no 5.gadu vec.'!C19</f>
        <v>10731.16</v>
      </c>
      <c r="D19" s="70">
        <f>'bērni līdz 5 gadiem'!D19+'bērni no 5.gadu vec.'!D19</f>
        <v>40065.61</v>
      </c>
      <c r="E19" s="70">
        <f>'bērni līdz 5 gadiem'!E19+'bērni no 5.gadu vec.'!E19</f>
        <v>79349.670000000013</v>
      </c>
      <c r="F19" s="70">
        <f>'bērni līdz 5 gadiem'!F19+'bērni no 5.gadu vec.'!F19</f>
        <v>10223.959999999999</v>
      </c>
      <c r="G19" s="70">
        <f>'bērni līdz 5 gadiem'!G19+'bērni no 5.gadu vec.'!G19</f>
        <v>7082.92</v>
      </c>
      <c r="H19" s="70">
        <f>'bērni līdz 5 gadiem'!H19+'bērni no 5.gadu vec.'!H19</f>
        <v>29474.329999999998</v>
      </c>
      <c r="I19" s="70">
        <f>'bērni līdz 5 gadiem'!I19+'bērni no 5.gadu vec.'!I19</f>
        <v>25472</v>
      </c>
      <c r="J19" s="70">
        <f>'bērni līdz 5 gadiem'!J19+'bērni no 5.gadu vec.'!J19</f>
        <v>7375.6200000000008</v>
      </c>
      <c r="K19" s="70">
        <f>'bērni līdz 5 gadiem'!K19+'bērni no 5.gadu vec.'!K19</f>
        <v>32513</v>
      </c>
      <c r="L19" s="70">
        <f>'bērni līdz 5 gadiem'!L19+'bērni no 5.gadu vec.'!L19</f>
        <v>16755.989999999998</v>
      </c>
      <c r="M19" s="70">
        <f>'bērni līdz 5 gadiem'!M19+'bērni no 5.gadu vec.'!M19</f>
        <v>3576.08</v>
      </c>
      <c r="N19" s="70">
        <f>'bērni līdz 5 gadiem'!N19+'bērni no 5.gadu vec.'!N19</f>
        <v>14697.099999999999</v>
      </c>
      <c r="O19" s="70">
        <f>'bērni līdz 5 gadiem'!O19+'bērni no 5.gadu vec.'!O19</f>
        <v>33329</v>
      </c>
      <c r="P19" s="70">
        <f>'bērni līdz 5 gadiem'!P19+'bērni no 5.gadu vec.'!P19</f>
        <v>17639.14</v>
      </c>
      <c r="Q19" s="70">
        <f>'bērni līdz 5 gadiem'!Q19+'bērni no 5.gadu vec.'!Q19</f>
        <v>15959.98</v>
      </c>
      <c r="R19" s="70">
        <f>'bērni līdz 5 gadiem'!R19+'bērni no 5.gadu vec.'!R19</f>
        <v>5098.71</v>
      </c>
      <c r="S19" s="70">
        <f>'bērni līdz 5 gadiem'!S19+'bērni no 5.gadu vec.'!S19</f>
        <v>7588.5599999999995</v>
      </c>
      <c r="T19" s="68">
        <f t="shared" si="0"/>
        <v>356932.83</v>
      </c>
    </row>
    <row r="20" spans="1:20" ht="26.25" x14ac:dyDescent="0.25">
      <c r="A20" s="9">
        <v>2230</v>
      </c>
      <c r="B20" s="4" t="s">
        <v>4</v>
      </c>
      <c r="C20" s="70">
        <f>'bērni līdz 5 gadiem'!C20+'bērni no 5.gadu vec.'!C20</f>
        <v>506.97</v>
      </c>
      <c r="D20" s="70">
        <f>'bērni līdz 5 gadiem'!D20+'bērni no 5.gadu vec.'!D20</f>
        <v>828.74</v>
      </c>
      <c r="E20" s="70">
        <f>'bērni līdz 5 gadiem'!E20+'bērni no 5.gadu vec.'!E20</f>
        <v>2069.19</v>
      </c>
      <c r="F20" s="70">
        <f>'bērni līdz 5 gadiem'!F20+'bērni no 5.gadu vec.'!F20</f>
        <v>926.51</v>
      </c>
      <c r="G20" s="70">
        <f>'bērni līdz 5 gadiem'!G20+'bērni no 5.gadu vec.'!G20</f>
        <v>431.15</v>
      </c>
      <c r="H20" s="70">
        <f>'bērni līdz 5 gadiem'!H20+'bērni no 5.gadu vec.'!H20</f>
        <v>184.72</v>
      </c>
      <c r="I20" s="70">
        <f>'bērni līdz 5 gadiem'!I20+'bērni no 5.gadu vec.'!I20</f>
        <v>2290</v>
      </c>
      <c r="J20" s="70">
        <f>'bērni līdz 5 gadiem'!J20+'bērni no 5.gadu vec.'!J20</f>
        <v>161.67000000000002</v>
      </c>
      <c r="K20" s="70">
        <f>'bērni līdz 5 gadiem'!K20+'bērni no 5.gadu vec.'!K20</f>
        <v>3917.6</v>
      </c>
      <c r="L20" s="70">
        <f>'bērni līdz 5 gadiem'!L20+'bērni no 5.gadu vec.'!L20</f>
        <v>278.33</v>
      </c>
      <c r="M20" s="70">
        <f>'bērni līdz 5 gadiem'!M20+'bērni no 5.gadu vec.'!M20</f>
        <v>63</v>
      </c>
      <c r="N20" s="70">
        <f>'bērni līdz 5 gadiem'!N20+'bērni no 5.gadu vec.'!N20</f>
        <v>469.42999999999995</v>
      </c>
      <c r="O20" s="70">
        <f>'bērni līdz 5 gadiem'!O20+'bērni no 5.gadu vec.'!O20</f>
        <v>1038</v>
      </c>
      <c r="P20" s="70">
        <f>'bērni līdz 5 gadiem'!P20+'bērni no 5.gadu vec.'!P20</f>
        <v>523.68000000000006</v>
      </c>
      <c r="Q20" s="70">
        <f>'bērni līdz 5 gadiem'!Q20+'bērni no 5.gadu vec.'!Q20</f>
        <v>280.19</v>
      </c>
      <c r="R20" s="70">
        <f>'bērni līdz 5 gadiem'!R20+'bērni no 5.gadu vec.'!R20</f>
        <v>267</v>
      </c>
      <c r="S20" s="70">
        <f>'bērni līdz 5 gadiem'!S20+'bērni no 5.gadu vec.'!S20</f>
        <v>204</v>
      </c>
      <c r="T20" s="68">
        <f t="shared" si="0"/>
        <v>14440.18</v>
      </c>
    </row>
    <row r="21" spans="1:20" ht="26.25" x14ac:dyDescent="0.25">
      <c r="A21" s="9">
        <v>2240</v>
      </c>
      <c r="B21" s="4" t="s">
        <v>36</v>
      </c>
      <c r="C21" s="70">
        <f>'bērni līdz 5 gadiem'!C21+'bērni no 5.gadu vec.'!C21</f>
        <v>2559.5699999999997</v>
      </c>
      <c r="D21" s="70">
        <f>'bērni līdz 5 gadiem'!D21+'bērni no 5.gadu vec.'!D21</f>
        <v>1373.97</v>
      </c>
      <c r="E21" s="70">
        <f>'bērni līdz 5 gadiem'!E21+'bērni no 5.gadu vec.'!E21</f>
        <v>12362.28</v>
      </c>
      <c r="F21" s="70">
        <f>'bērni līdz 5 gadiem'!F21+'bērni no 5.gadu vec.'!F21</f>
        <v>90.61</v>
      </c>
      <c r="G21" s="70">
        <f>'bērni līdz 5 gadiem'!G21+'bērni no 5.gadu vec.'!G21</f>
        <v>831.54</v>
      </c>
      <c r="H21" s="70">
        <f>'bērni līdz 5 gadiem'!H21+'bērni no 5.gadu vec.'!H21</f>
        <v>2345.48</v>
      </c>
      <c r="I21" s="70">
        <f>'bērni līdz 5 gadiem'!I21+'bērni no 5.gadu vec.'!I21</f>
        <v>9677</v>
      </c>
      <c r="J21" s="70">
        <f>'bērni līdz 5 gadiem'!J21+'bērni no 5.gadu vec.'!J21</f>
        <v>464</v>
      </c>
      <c r="K21" s="70">
        <f>'bērni līdz 5 gadiem'!K21+'bērni no 5.gadu vec.'!K21</f>
        <v>16014.4</v>
      </c>
      <c r="L21" s="70">
        <f>'bērni līdz 5 gadiem'!L21+'bērni no 5.gadu vec.'!L21</f>
        <v>2842.74</v>
      </c>
      <c r="M21" s="70">
        <f>'bērni līdz 5 gadiem'!M21+'bērni no 5.gadu vec.'!M21</f>
        <v>996.51</v>
      </c>
      <c r="N21" s="70">
        <f>'bērni līdz 5 gadiem'!N21+'bērni no 5.gadu vec.'!N21</f>
        <v>1462.25</v>
      </c>
      <c r="O21" s="70">
        <f>'bērni līdz 5 gadiem'!O21+'bērni no 5.gadu vec.'!O21</f>
        <v>6360</v>
      </c>
      <c r="P21" s="70">
        <f>'bērni līdz 5 gadiem'!P21+'bērni no 5.gadu vec.'!P21</f>
        <v>1565.6100000000001</v>
      </c>
      <c r="Q21" s="70">
        <f>'bērni līdz 5 gadiem'!Q21+'bērni no 5.gadu vec.'!Q21</f>
        <v>3566.48</v>
      </c>
      <c r="R21" s="70">
        <f>'bērni līdz 5 gadiem'!R21+'bērni no 5.gadu vec.'!R21</f>
        <v>17.53</v>
      </c>
      <c r="S21" s="70">
        <f>'bērni līdz 5 gadiem'!S21+'bērni no 5.gadu vec.'!S21</f>
        <v>513.28</v>
      </c>
      <c r="T21" s="68">
        <f t="shared" si="0"/>
        <v>63043.25</v>
      </c>
    </row>
    <row r="22" spans="1:20" ht="15" x14ac:dyDescent="0.25">
      <c r="A22" s="9">
        <v>2250</v>
      </c>
      <c r="B22" s="4" t="s">
        <v>5</v>
      </c>
      <c r="C22" s="70">
        <f>'bērni līdz 5 gadiem'!C22+'bērni no 5.gadu vec.'!C22</f>
        <v>0</v>
      </c>
      <c r="D22" s="70">
        <f>'bērni līdz 5 gadiem'!D22+'bērni no 5.gadu vec.'!D22</f>
        <v>133</v>
      </c>
      <c r="E22" s="70">
        <f>'bērni līdz 5 gadiem'!E22+'bērni no 5.gadu vec.'!E22</f>
        <v>0</v>
      </c>
      <c r="F22" s="70">
        <f>'bērni līdz 5 gadiem'!F22+'bērni no 5.gadu vec.'!F22</f>
        <v>327.36</v>
      </c>
      <c r="G22" s="70">
        <f>'bērni līdz 5 gadiem'!G22+'bērni no 5.gadu vec.'!G22</f>
        <v>0</v>
      </c>
      <c r="H22" s="70">
        <f>'bērni līdz 5 gadiem'!H22+'bērni no 5.gadu vec.'!H22</f>
        <v>522.72</v>
      </c>
      <c r="I22" s="70">
        <f>'bērni līdz 5 gadiem'!I22+'bērni no 5.gadu vec.'!I22</f>
        <v>24</v>
      </c>
      <c r="J22" s="70">
        <f>'bērni līdz 5 gadiem'!J22+'bērni no 5.gadu vec.'!J22</f>
        <v>397.48</v>
      </c>
      <c r="K22" s="70">
        <f>'bērni līdz 5 gadiem'!K22+'bērni no 5.gadu vec.'!K22</f>
        <v>1119</v>
      </c>
      <c r="L22" s="70">
        <f>'bērni līdz 5 gadiem'!L22+'bērni no 5.gadu vec.'!L22</f>
        <v>353.98</v>
      </c>
      <c r="M22" s="70">
        <f>'bērni līdz 5 gadiem'!M22+'bērni no 5.gadu vec.'!M22</f>
        <v>0</v>
      </c>
      <c r="N22" s="70">
        <f>'bērni līdz 5 gadiem'!N22+'bērni no 5.gadu vec.'!N22</f>
        <v>0</v>
      </c>
      <c r="O22" s="70">
        <f>'bērni līdz 5 gadiem'!O22+'bērni no 5.gadu vec.'!O22</f>
        <v>332</v>
      </c>
      <c r="P22" s="70">
        <f>'bērni līdz 5 gadiem'!P22+'bērni no 5.gadu vec.'!P22</f>
        <v>0</v>
      </c>
      <c r="Q22" s="70">
        <f>'bērni līdz 5 gadiem'!Q22+'bērni no 5.gadu vec.'!Q22</f>
        <v>1035.3800000000001</v>
      </c>
      <c r="R22" s="70">
        <f>'bērni līdz 5 gadiem'!R22+'bērni no 5.gadu vec.'!R22</f>
        <v>0</v>
      </c>
      <c r="S22" s="70">
        <f>'bērni līdz 5 gadiem'!S22+'bērni no 5.gadu vec.'!S22</f>
        <v>0</v>
      </c>
      <c r="T22" s="68">
        <f t="shared" si="0"/>
        <v>4244.92</v>
      </c>
    </row>
    <row r="23" spans="1:20" ht="15" x14ac:dyDescent="0.25">
      <c r="A23" s="9">
        <v>2260</v>
      </c>
      <c r="B23" s="4" t="s">
        <v>37</v>
      </c>
      <c r="C23" s="70">
        <f>'bērni līdz 5 gadiem'!C23+'bērni no 5.gadu vec.'!C23</f>
        <v>1033.22</v>
      </c>
      <c r="D23" s="70">
        <f>'bērni līdz 5 gadiem'!D23+'bērni no 5.gadu vec.'!D23</f>
        <v>544.66999999999996</v>
      </c>
      <c r="E23" s="70">
        <f>'bērni līdz 5 gadiem'!E23+'bērni no 5.gadu vec.'!E23</f>
        <v>1171.94</v>
      </c>
      <c r="F23" s="70">
        <f>'bērni līdz 5 gadiem'!F23+'bērni no 5.gadu vec.'!F23</f>
        <v>27.15</v>
      </c>
      <c r="G23" s="70">
        <f>'bērni līdz 5 gadiem'!G23+'bērni no 5.gadu vec.'!G23</f>
        <v>0</v>
      </c>
      <c r="H23" s="70">
        <f>'bērni līdz 5 gadiem'!H23+'bērni no 5.gadu vec.'!H23</f>
        <v>761.2</v>
      </c>
      <c r="I23" s="70">
        <f>'bērni līdz 5 gadiem'!I23+'bērni no 5.gadu vec.'!I23</f>
        <v>0</v>
      </c>
      <c r="J23" s="70">
        <f>'bērni līdz 5 gadiem'!J23+'bērni no 5.gadu vec.'!J23</f>
        <v>299.87</v>
      </c>
      <c r="K23" s="70">
        <f>'bērni līdz 5 gadiem'!K23+'bērni no 5.gadu vec.'!K23</f>
        <v>0</v>
      </c>
      <c r="L23" s="70">
        <f>'bērni līdz 5 gadiem'!L23+'bērni no 5.gadu vec.'!L23</f>
        <v>438.37</v>
      </c>
      <c r="M23" s="70">
        <f>'bērni līdz 5 gadiem'!M23+'bērni no 5.gadu vec.'!M23</f>
        <v>0</v>
      </c>
      <c r="N23" s="70">
        <f>'bērni līdz 5 gadiem'!N23+'bērni no 5.gadu vec.'!N23</f>
        <v>0</v>
      </c>
      <c r="O23" s="70">
        <f>'bērni līdz 5 gadiem'!O23+'bērni no 5.gadu vec.'!O23</f>
        <v>65</v>
      </c>
      <c r="P23" s="70">
        <f>'bērni līdz 5 gadiem'!P23+'bērni no 5.gadu vec.'!P23</f>
        <v>256.43</v>
      </c>
      <c r="Q23" s="70">
        <f>'bērni līdz 5 gadiem'!Q23+'bērni no 5.gadu vec.'!Q23</f>
        <v>1535.79</v>
      </c>
      <c r="R23" s="70">
        <f>'bērni līdz 5 gadiem'!R23+'bērni no 5.gadu vec.'!R23</f>
        <v>26.04</v>
      </c>
      <c r="S23" s="70">
        <f>'bērni līdz 5 gadiem'!S23+'bērni no 5.gadu vec.'!S23</f>
        <v>0</v>
      </c>
      <c r="T23" s="68">
        <f t="shared" si="0"/>
        <v>6159.68</v>
      </c>
    </row>
    <row r="24" spans="1:20" ht="26.25" x14ac:dyDescent="0.25">
      <c r="A24" s="8">
        <v>2300</v>
      </c>
      <c r="B24" s="2" t="s">
        <v>38</v>
      </c>
      <c r="C24" s="69">
        <f t="shared" ref="C24:S24" si="6">SUM(C25:C30)</f>
        <v>9628.5499999999993</v>
      </c>
      <c r="D24" s="69">
        <f t="shared" si="6"/>
        <v>6318.130000000001</v>
      </c>
      <c r="E24" s="69">
        <f t="shared" si="6"/>
        <v>13945.2</v>
      </c>
      <c r="F24" s="69">
        <f t="shared" si="6"/>
        <v>3026.5700000000006</v>
      </c>
      <c r="G24" s="69">
        <f t="shared" si="6"/>
        <v>1938.34</v>
      </c>
      <c r="H24" s="69">
        <f t="shared" si="6"/>
        <v>4779.6100000000006</v>
      </c>
      <c r="I24" s="69">
        <f t="shared" si="6"/>
        <v>14191</v>
      </c>
      <c r="J24" s="69">
        <f t="shared" si="6"/>
        <v>3900.66</v>
      </c>
      <c r="K24" s="69">
        <f t="shared" si="6"/>
        <v>16909</v>
      </c>
      <c r="L24" s="69">
        <f t="shared" si="6"/>
        <v>7050.09</v>
      </c>
      <c r="M24" s="69">
        <f t="shared" si="6"/>
        <v>6638.55</v>
      </c>
      <c r="N24" s="69">
        <f t="shared" si="6"/>
        <v>7590.2899999999991</v>
      </c>
      <c r="O24" s="69">
        <f t="shared" si="6"/>
        <v>13685</v>
      </c>
      <c r="P24" s="69">
        <f t="shared" si="6"/>
        <v>6873.27</v>
      </c>
      <c r="Q24" s="69">
        <f t="shared" si="6"/>
        <v>25582.989999999998</v>
      </c>
      <c r="R24" s="69">
        <f t="shared" si="6"/>
        <v>5431.5</v>
      </c>
      <c r="S24" s="69">
        <f t="shared" si="6"/>
        <v>5597.9199999999992</v>
      </c>
      <c r="T24" s="68">
        <f t="shared" si="0"/>
        <v>153086.66999999998</v>
      </c>
    </row>
    <row r="25" spans="1:20" ht="15" x14ac:dyDescent="0.25">
      <c r="A25" s="11">
        <v>2310</v>
      </c>
      <c r="B25" s="4" t="s">
        <v>39</v>
      </c>
      <c r="C25" s="70">
        <f>'bērni līdz 5 gadiem'!C25+'bērni no 5.gadu vec.'!C25</f>
        <v>3228.5299999999997</v>
      </c>
      <c r="D25" s="70">
        <f>'bērni līdz 5 gadiem'!D25+'bērni no 5.gadu vec.'!D25</f>
        <v>849.55</v>
      </c>
      <c r="E25" s="70">
        <f>'bērni līdz 5 gadiem'!E25+'bērni no 5.gadu vec.'!E25</f>
        <v>2744.45</v>
      </c>
      <c r="F25" s="70">
        <f>'bērni līdz 5 gadiem'!F25+'bērni no 5.gadu vec.'!F25</f>
        <v>1347.5900000000001</v>
      </c>
      <c r="G25" s="70">
        <f>'bērni līdz 5 gadiem'!G25+'bērni no 5.gadu vec.'!G25</f>
        <v>746.28</v>
      </c>
      <c r="H25" s="70">
        <f>'bērni līdz 5 gadiem'!H25+'bērni no 5.gadu vec.'!H25</f>
        <v>2486.1799999999998</v>
      </c>
      <c r="I25" s="70">
        <f>'bērni līdz 5 gadiem'!I25+'bērni no 5.gadu vec.'!I25</f>
        <v>4454</v>
      </c>
      <c r="J25" s="70">
        <f>'bērni līdz 5 gadiem'!J25+'bērni no 5.gadu vec.'!J25</f>
        <v>1507.5</v>
      </c>
      <c r="K25" s="70">
        <f>'bērni līdz 5 gadiem'!K25+'bērni no 5.gadu vec.'!K25</f>
        <v>7459</v>
      </c>
      <c r="L25" s="70">
        <f>'bērni līdz 5 gadiem'!L25+'bērni no 5.gadu vec.'!L25</f>
        <v>3038.36</v>
      </c>
      <c r="M25" s="70">
        <f>'bērni līdz 5 gadiem'!M25+'bērni no 5.gadu vec.'!M25</f>
        <v>465.87</v>
      </c>
      <c r="N25" s="70">
        <f>'bērni līdz 5 gadiem'!N25+'bērni no 5.gadu vec.'!N25</f>
        <v>2933.9</v>
      </c>
      <c r="O25" s="70">
        <f>'bērni līdz 5 gadiem'!O25+'bērni no 5.gadu vec.'!O25</f>
        <v>5400</v>
      </c>
      <c r="P25" s="70">
        <f>'bērni līdz 5 gadiem'!P25+'bērni no 5.gadu vec.'!P25</f>
        <v>3482.54</v>
      </c>
      <c r="Q25" s="70">
        <f>'bērni līdz 5 gadiem'!Q25+'bērni no 5.gadu vec.'!Q25</f>
        <v>5170.83</v>
      </c>
      <c r="R25" s="70">
        <f>'bērni līdz 5 gadiem'!R25+'bērni no 5.gadu vec.'!R25</f>
        <v>677.67</v>
      </c>
      <c r="S25" s="70">
        <f>'bērni līdz 5 gadiem'!S25+'bērni no 5.gadu vec.'!S25</f>
        <v>417.93</v>
      </c>
      <c r="T25" s="68">
        <f t="shared" si="0"/>
        <v>46410.18</v>
      </c>
    </row>
    <row r="26" spans="1:20" ht="26.25" x14ac:dyDescent="0.25">
      <c r="A26" s="11">
        <v>2320</v>
      </c>
      <c r="B26" s="4" t="s">
        <v>6</v>
      </c>
      <c r="C26" s="70">
        <f>'bērni līdz 5 gadiem'!C26+'bērni no 5.gadu vec.'!C26</f>
        <v>42</v>
      </c>
      <c r="D26" s="70">
        <f>'bērni līdz 5 gadiem'!D26+'bērni no 5.gadu vec.'!D26</f>
        <v>0</v>
      </c>
      <c r="E26" s="70">
        <f>'bērni līdz 5 gadiem'!E26+'bērni no 5.gadu vec.'!E26</f>
        <v>0</v>
      </c>
      <c r="F26" s="70">
        <f>'bērni līdz 5 gadiem'!F26+'bērni no 5.gadu vec.'!F26</f>
        <v>0</v>
      </c>
      <c r="G26" s="70">
        <f>'bērni līdz 5 gadiem'!G26+'bērni no 5.gadu vec.'!G26</f>
        <v>0</v>
      </c>
      <c r="H26" s="70">
        <f>'bērni līdz 5 gadiem'!H26+'bērni no 5.gadu vec.'!H26</f>
        <v>17.189999999999998</v>
      </c>
      <c r="I26" s="70">
        <f>'bērni līdz 5 gadiem'!I26+'bērni no 5.gadu vec.'!I26</f>
        <v>0</v>
      </c>
      <c r="J26" s="70">
        <f>'bērni līdz 5 gadiem'!J26+'bērni no 5.gadu vec.'!J26</f>
        <v>58.13</v>
      </c>
      <c r="K26" s="70">
        <f>'bērni līdz 5 gadiem'!K26+'bērni no 5.gadu vec.'!K26</f>
        <v>0</v>
      </c>
      <c r="L26" s="70">
        <f>'bērni līdz 5 gadiem'!L26+'bērni no 5.gadu vec.'!L26</f>
        <v>0</v>
      </c>
      <c r="M26" s="70">
        <f>'bērni līdz 5 gadiem'!M26+'bērni no 5.gadu vec.'!M26</f>
        <v>4894.6400000000003</v>
      </c>
      <c r="N26" s="70">
        <f>'bērni līdz 5 gadiem'!N26+'bērni no 5.gadu vec.'!N26</f>
        <v>0</v>
      </c>
      <c r="O26" s="70">
        <f>'bērni līdz 5 gadiem'!O26+'bērni no 5.gadu vec.'!O26</f>
        <v>0</v>
      </c>
      <c r="P26" s="70">
        <f>'bērni līdz 5 gadiem'!P26+'bērni no 5.gadu vec.'!P26</f>
        <v>4.4800000000000004</v>
      </c>
      <c r="Q26" s="70">
        <f>'bērni līdz 5 gadiem'!Q26+'bērni no 5.gadu vec.'!Q26</f>
        <v>14613.02</v>
      </c>
      <c r="R26" s="70">
        <f>'bērni līdz 5 gadiem'!R26+'bērni no 5.gadu vec.'!R26</f>
        <v>4237.32</v>
      </c>
      <c r="S26" s="70">
        <f>'bērni līdz 5 gadiem'!S26+'bērni no 5.gadu vec.'!S26</f>
        <v>902.31999999999994</v>
      </c>
      <c r="T26" s="68">
        <f t="shared" si="0"/>
        <v>24769.1</v>
      </c>
    </row>
    <row r="27" spans="1:20" ht="26.25" x14ac:dyDescent="0.25">
      <c r="A27" s="11">
        <v>2340</v>
      </c>
      <c r="B27" s="4" t="s">
        <v>40</v>
      </c>
      <c r="C27" s="70">
        <f>'bērni līdz 5 gadiem'!C27+'bērni no 5.gadu vec.'!C27</f>
        <v>9.5399999999999991</v>
      </c>
      <c r="D27" s="70">
        <f>'bērni līdz 5 gadiem'!D27+'bērni no 5.gadu vec.'!D27</f>
        <v>13.34</v>
      </c>
      <c r="E27" s="70">
        <f>'bērni līdz 5 gadiem'!E27+'bērni no 5.gadu vec.'!E27</f>
        <v>166.7</v>
      </c>
      <c r="F27" s="70">
        <f>'bērni līdz 5 gadiem'!F27+'bērni no 5.gadu vec.'!F27</f>
        <v>0</v>
      </c>
      <c r="G27" s="70">
        <f>'bērni līdz 5 gadiem'!G27+'bērni no 5.gadu vec.'!G27</f>
        <v>26.72</v>
      </c>
      <c r="H27" s="70">
        <f>'bērni līdz 5 gadiem'!H27+'bērni no 5.gadu vec.'!H27</f>
        <v>5.3699999999999992</v>
      </c>
      <c r="I27" s="70">
        <f>'bērni līdz 5 gadiem'!I27+'bērni no 5.gadu vec.'!I27</f>
        <v>256</v>
      </c>
      <c r="J27" s="70">
        <f>'bērni līdz 5 gadiem'!J27+'bērni no 5.gadu vec.'!J27</f>
        <v>0</v>
      </c>
      <c r="K27" s="70">
        <f>'bērni līdz 5 gadiem'!K27+'bērni no 5.gadu vec.'!K27</f>
        <v>0</v>
      </c>
      <c r="L27" s="70">
        <f>'bērni līdz 5 gadiem'!L27+'bērni no 5.gadu vec.'!L27</f>
        <v>0</v>
      </c>
      <c r="M27" s="70">
        <f>'bērni līdz 5 gadiem'!M27+'bērni no 5.gadu vec.'!M27</f>
        <v>0</v>
      </c>
      <c r="N27" s="70">
        <f>'bērni līdz 5 gadiem'!N27+'bērni no 5.gadu vec.'!N27</f>
        <v>0</v>
      </c>
      <c r="O27" s="70">
        <f>'bērni līdz 5 gadiem'!O27+'bērni no 5.gadu vec.'!O27</f>
        <v>116</v>
      </c>
      <c r="P27" s="70">
        <f>'bērni līdz 5 gadiem'!P27+'bērni no 5.gadu vec.'!P27</f>
        <v>77.81</v>
      </c>
      <c r="Q27" s="70">
        <f>'bērni līdz 5 gadiem'!Q27+'bērni no 5.gadu vec.'!Q27</f>
        <v>79.98</v>
      </c>
      <c r="R27" s="70">
        <f>'bērni līdz 5 gadiem'!R27+'bērni no 5.gadu vec.'!R27</f>
        <v>0</v>
      </c>
      <c r="S27" s="70">
        <f>'bērni līdz 5 gadiem'!S27+'bērni no 5.gadu vec.'!S27</f>
        <v>0</v>
      </c>
      <c r="T27" s="68">
        <f t="shared" si="0"/>
        <v>751.46</v>
      </c>
    </row>
    <row r="28" spans="1:20" ht="15" x14ac:dyDescent="0.25">
      <c r="A28" s="11">
        <v>2350</v>
      </c>
      <c r="B28" s="4" t="s">
        <v>7</v>
      </c>
      <c r="C28" s="70">
        <f>'bērni līdz 5 gadiem'!C28+'bērni no 5.gadu vec.'!C28</f>
        <v>5223.5</v>
      </c>
      <c r="D28" s="70">
        <f>'bērni līdz 5 gadiem'!D28+'bērni no 5.gadu vec.'!D28</f>
        <v>4780.0600000000004</v>
      </c>
      <c r="E28" s="70">
        <f>'bērni līdz 5 gadiem'!E28+'bērni no 5.gadu vec.'!E28</f>
        <v>5925.17</v>
      </c>
      <c r="F28" s="70">
        <f>'bērni līdz 5 gadiem'!F28+'bērni no 5.gadu vec.'!F28</f>
        <v>1194.9000000000001</v>
      </c>
      <c r="G28" s="70">
        <f>'bērni līdz 5 gadiem'!G28+'bērni no 5.gadu vec.'!G28</f>
        <v>978.29</v>
      </c>
      <c r="H28" s="70">
        <f>'bērni līdz 5 gadiem'!H28+'bērni no 5.gadu vec.'!H28</f>
        <v>1779.69</v>
      </c>
      <c r="I28" s="70">
        <f>'bērni līdz 5 gadiem'!I28+'bērni no 5.gadu vec.'!I28</f>
        <v>9076</v>
      </c>
      <c r="J28" s="70">
        <f>'bērni līdz 5 gadiem'!J28+'bērni no 5.gadu vec.'!J28</f>
        <v>1109.4099999999999</v>
      </c>
      <c r="K28" s="70">
        <f>'bērni līdz 5 gadiem'!K28+'bērni no 5.gadu vec.'!K28</f>
        <v>6790</v>
      </c>
      <c r="L28" s="70">
        <f>'bērni līdz 5 gadiem'!L28+'bērni no 5.gadu vec.'!L28</f>
        <v>3124.1400000000003</v>
      </c>
      <c r="M28" s="70">
        <f>'bērni līdz 5 gadiem'!M28+'bērni no 5.gadu vec.'!M28</f>
        <v>1094.93</v>
      </c>
      <c r="N28" s="70">
        <f>'bērni līdz 5 gadiem'!N28+'bērni no 5.gadu vec.'!N28</f>
        <v>4332.8099999999995</v>
      </c>
      <c r="O28" s="70">
        <f>'bērni līdz 5 gadiem'!O28+'bērni no 5.gadu vec.'!O28</f>
        <v>4695</v>
      </c>
      <c r="P28" s="70">
        <f>'bērni līdz 5 gadiem'!P28+'bērni no 5.gadu vec.'!P28</f>
        <v>2995.8900000000003</v>
      </c>
      <c r="Q28" s="70">
        <f>'bērni līdz 5 gadiem'!Q28+'bērni no 5.gadu vec.'!Q28</f>
        <v>4656.29</v>
      </c>
      <c r="R28" s="70">
        <f>'bērni līdz 5 gadiem'!R28+'bērni no 5.gadu vec.'!R28</f>
        <v>460.84000000000003</v>
      </c>
      <c r="S28" s="70">
        <f>'bērni līdz 5 gadiem'!S28+'bērni no 5.gadu vec.'!S28</f>
        <v>3825.33</v>
      </c>
      <c r="T28" s="68">
        <f t="shared" si="0"/>
        <v>62042.25</v>
      </c>
    </row>
    <row r="29" spans="1:20" ht="26.25" x14ac:dyDescent="0.25">
      <c r="A29" s="11">
        <v>2360</v>
      </c>
      <c r="B29" s="4" t="s">
        <v>41</v>
      </c>
      <c r="C29" s="70">
        <f>'bērni līdz 5 gadiem'!C29+'bērni no 5.gadu vec.'!C29</f>
        <v>324.98</v>
      </c>
      <c r="D29" s="70">
        <f>'bērni līdz 5 gadiem'!D29+'bērni no 5.gadu vec.'!D29</f>
        <v>91.210000000000008</v>
      </c>
      <c r="E29" s="70">
        <f>'bērni līdz 5 gadiem'!E29+'bērni no 5.gadu vec.'!E29</f>
        <v>3221.68</v>
      </c>
      <c r="F29" s="70">
        <f>'bērni līdz 5 gadiem'!F29+'bērni no 5.gadu vec.'!F29</f>
        <v>184.55</v>
      </c>
      <c r="G29" s="70">
        <f>'bērni līdz 5 gadiem'!G29+'bērni no 5.gadu vec.'!G29</f>
        <v>0</v>
      </c>
      <c r="H29" s="70">
        <f>'bērni līdz 5 gadiem'!H29+'bērni no 5.gadu vec.'!H29</f>
        <v>93.63</v>
      </c>
      <c r="I29" s="70">
        <f>'bērni līdz 5 gadiem'!I29+'bērni no 5.gadu vec.'!I29</f>
        <v>259</v>
      </c>
      <c r="J29" s="70">
        <f>'bērni līdz 5 gadiem'!J29+'bērni no 5.gadu vec.'!J29</f>
        <v>328.45</v>
      </c>
      <c r="K29" s="70">
        <f>'bērni līdz 5 gadiem'!K29+'bērni no 5.gadu vec.'!K29</f>
        <v>0</v>
      </c>
      <c r="L29" s="70">
        <f>'bērni līdz 5 gadiem'!L29+'bērni no 5.gadu vec.'!L29</f>
        <v>118.89</v>
      </c>
      <c r="M29" s="70">
        <f>'bērni līdz 5 gadiem'!M29+'bērni no 5.gadu vec.'!M29</f>
        <v>0</v>
      </c>
      <c r="N29" s="70">
        <f>'bērni līdz 5 gadiem'!N29+'bērni no 5.gadu vec.'!N29</f>
        <v>11.850000000000001</v>
      </c>
      <c r="O29" s="70">
        <f>'bērni līdz 5 gadiem'!O29+'bērni no 5.gadu vec.'!O29</f>
        <v>1045</v>
      </c>
      <c r="P29" s="70">
        <f>'bērni līdz 5 gadiem'!P29+'bērni no 5.gadu vec.'!P29</f>
        <v>243.98000000000002</v>
      </c>
      <c r="Q29" s="70">
        <f>'bērni līdz 5 gadiem'!Q29+'bērni no 5.gadu vec.'!Q29</f>
        <v>166.32</v>
      </c>
      <c r="R29" s="70">
        <f>'bērni līdz 5 gadiem'!R29+'bērni no 5.gadu vec.'!R29</f>
        <v>22.54</v>
      </c>
      <c r="S29" s="70">
        <f>'bērni līdz 5 gadiem'!S29+'bērni no 5.gadu vec.'!S29</f>
        <v>358.48</v>
      </c>
      <c r="T29" s="68">
        <f t="shared" si="0"/>
        <v>6470.5600000000013</v>
      </c>
    </row>
    <row r="30" spans="1:20" ht="15" x14ac:dyDescent="0.25">
      <c r="A30" s="11">
        <v>2370</v>
      </c>
      <c r="B30" s="20" t="s">
        <v>33</v>
      </c>
      <c r="C30" s="70">
        <f>'bērni līdz 5 gadiem'!C30+'bērni no 5.gadu vec.'!C30</f>
        <v>800</v>
      </c>
      <c r="D30" s="70">
        <f>'bērni līdz 5 gadiem'!D30+'bērni no 5.gadu vec.'!D30</f>
        <v>583.97</v>
      </c>
      <c r="E30" s="70">
        <f>'bērni līdz 5 gadiem'!E30+'bērni no 5.gadu vec.'!E30</f>
        <v>1887.2</v>
      </c>
      <c r="F30" s="70">
        <f>'bērni līdz 5 gadiem'!F30+'bērni no 5.gadu vec.'!F30</f>
        <v>299.52999999999997</v>
      </c>
      <c r="G30" s="70">
        <f>'bērni līdz 5 gadiem'!G30+'bērni no 5.gadu vec.'!G30</f>
        <v>187.05</v>
      </c>
      <c r="H30" s="70">
        <f>'bērni līdz 5 gadiem'!H30+'bērni no 5.gadu vec.'!H30</f>
        <v>397.54999999999995</v>
      </c>
      <c r="I30" s="70">
        <f>'bērni līdz 5 gadiem'!I30+'bērni no 5.gadu vec.'!I30</f>
        <v>146</v>
      </c>
      <c r="J30" s="70">
        <f>'bērni līdz 5 gadiem'!J30+'bērni no 5.gadu vec.'!J30</f>
        <v>897.17000000000007</v>
      </c>
      <c r="K30" s="70">
        <f>'bērni līdz 5 gadiem'!K30+'bērni no 5.gadu vec.'!K30</f>
        <v>2660</v>
      </c>
      <c r="L30" s="70">
        <f>'bērni līdz 5 gadiem'!L30+'bērni no 5.gadu vec.'!L30</f>
        <v>768.7</v>
      </c>
      <c r="M30" s="70">
        <f>'bērni līdz 5 gadiem'!M30+'bērni no 5.gadu vec.'!M30</f>
        <v>183.11</v>
      </c>
      <c r="N30" s="70">
        <f>'bērni līdz 5 gadiem'!N30+'bērni no 5.gadu vec.'!N30</f>
        <v>311.73</v>
      </c>
      <c r="O30" s="70">
        <f>'bērni līdz 5 gadiem'!O30+'bērni no 5.gadu vec.'!O30</f>
        <v>2429</v>
      </c>
      <c r="P30" s="70">
        <f>'bērni līdz 5 gadiem'!P30+'bērni no 5.gadu vec.'!P30</f>
        <v>68.569999999999993</v>
      </c>
      <c r="Q30" s="70">
        <f>'bērni līdz 5 gadiem'!Q30+'bērni no 5.gadu vec.'!Q30</f>
        <v>896.55</v>
      </c>
      <c r="R30" s="70">
        <f>'bērni līdz 5 gadiem'!R30+'bērni no 5.gadu vec.'!R30</f>
        <v>33.129999999999995</v>
      </c>
      <c r="S30" s="70">
        <f>'bērni līdz 5 gadiem'!S30+'bērni no 5.gadu vec.'!S30</f>
        <v>93.86</v>
      </c>
      <c r="T30" s="68">
        <f t="shared" si="0"/>
        <v>12643.119999999999</v>
      </c>
    </row>
    <row r="31" spans="1:20" ht="15" x14ac:dyDescent="0.25">
      <c r="A31" s="10">
        <v>2400</v>
      </c>
      <c r="B31" s="2" t="s">
        <v>8</v>
      </c>
      <c r="C31" s="72">
        <f>'bērni līdz 5 gadiem'!C31+'bērni no 5.gadu vec.'!C31</f>
        <v>0</v>
      </c>
      <c r="D31" s="72">
        <f>'bērni līdz 5 gadiem'!D31+'bērni no 5.gadu vec.'!D31</f>
        <v>0</v>
      </c>
      <c r="E31" s="72">
        <f>'bērni līdz 5 gadiem'!E31+'bērni no 5.gadu vec.'!E31</f>
        <v>84</v>
      </c>
      <c r="F31" s="72">
        <f>'bērni līdz 5 gadiem'!F31+'bērni no 5.gadu vec.'!F31</f>
        <v>0</v>
      </c>
      <c r="G31" s="72">
        <f>'bērni līdz 5 gadiem'!G31+'bērni no 5.gadu vec.'!G31</f>
        <v>0</v>
      </c>
      <c r="H31" s="72">
        <f>'bērni līdz 5 gadiem'!H31+'bērni no 5.gadu vec.'!H31</f>
        <v>0</v>
      </c>
      <c r="I31" s="72">
        <f>'bērni līdz 5 gadiem'!I31+'bērni no 5.gadu vec.'!I31</f>
        <v>0</v>
      </c>
      <c r="J31" s="72">
        <f>'bērni līdz 5 gadiem'!J31+'bērni no 5.gadu vec.'!J31</f>
        <v>0</v>
      </c>
      <c r="K31" s="72">
        <f>'bērni līdz 5 gadiem'!K31+'bērni no 5.gadu vec.'!K31</f>
        <v>0</v>
      </c>
      <c r="L31" s="72">
        <f>'bērni līdz 5 gadiem'!L31+'bērni no 5.gadu vec.'!L31</f>
        <v>0</v>
      </c>
      <c r="M31" s="72">
        <f>'bērni līdz 5 gadiem'!M31+'bērni no 5.gadu vec.'!M31</f>
        <v>0</v>
      </c>
      <c r="N31" s="72">
        <f>'bērni līdz 5 gadiem'!N31+'bērni no 5.gadu vec.'!N31</f>
        <v>0</v>
      </c>
      <c r="O31" s="72">
        <f>'bērni līdz 5 gadiem'!O31+'bērni no 5.gadu vec.'!O31</f>
        <v>0</v>
      </c>
      <c r="P31" s="72">
        <f>'bērni līdz 5 gadiem'!P31+'bērni no 5.gadu vec.'!P31</f>
        <v>0</v>
      </c>
      <c r="Q31" s="72">
        <f>'bērni līdz 5 gadiem'!Q31+'bērni no 5.gadu vec.'!Q31</f>
        <v>128.99</v>
      </c>
      <c r="R31" s="72">
        <f>'bērni līdz 5 gadiem'!R31+'bērni no 5.gadu vec.'!R31</f>
        <v>0</v>
      </c>
      <c r="S31" s="72">
        <f>'bērni līdz 5 gadiem'!S31+'bērni no 5.gadu vec.'!S31</f>
        <v>0</v>
      </c>
      <c r="T31" s="68">
        <f t="shared" si="0"/>
        <v>212.99</v>
      </c>
    </row>
    <row r="32" spans="1:20" ht="15" x14ac:dyDescent="0.25">
      <c r="A32" s="10">
        <v>5233</v>
      </c>
      <c r="B32" s="21" t="s">
        <v>34</v>
      </c>
      <c r="C32" s="72">
        <f>'bērni līdz 5 gadiem'!C32+'bērni no 5.gadu vec.'!C32</f>
        <v>0</v>
      </c>
      <c r="D32" s="72">
        <f>'bērni līdz 5 gadiem'!D32+'bērni no 5.gadu vec.'!D32</f>
        <v>0</v>
      </c>
      <c r="E32" s="72">
        <f>'bērni līdz 5 gadiem'!E32+'bērni no 5.gadu vec.'!E32</f>
        <v>0</v>
      </c>
      <c r="F32" s="72">
        <f>'bērni līdz 5 gadiem'!F32+'bērni no 5.gadu vec.'!F32</f>
        <v>0</v>
      </c>
      <c r="G32" s="72">
        <f>'bērni līdz 5 gadiem'!G32+'bērni no 5.gadu vec.'!G32</f>
        <v>0</v>
      </c>
      <c r="H32" s="72">
        <f>'bērni līdz 5 gadiem'!H32+'bērni no 5.gadu vec.'!H32</f>
        <v>0</v>
      </c>
      <c r="I32" s="72">
        <f>'bērni līdz 5 gadiem'!I32+'bērni no 5.gadu vec.'!I32</f>
        <v>0</v>
      </c>
      <c r="J32" s="72">
        <f>'bērni līdz 5 gadiem'!J32+'bērni no 5.gadu vec.'!J32</f>
        <v>0</v>
      </c>
      <c r="K32" s="72">
        <f>'bērni līdz 5 gadiem'!K32+'bērni no 5.gadu vec.'!K32</f>
        <v>53</v>
      </c>
      <c r="L32" s="72">
        <f>'bērni līdz 5 gadiem'!L32+'bērni no 5.gadu vec.'!L32</f>
        <v>0</v>
      </c>
      <c r="M32" s="72">
        <f>'bērni līdz 5 gadiem'!M32+'bērni no 5.gadu vec.'!M32</f>
        <v>0</v>
      </c>
      <c r="N32" s="72">
        <f>'bērni līdz 5 gadiem'!N32+'bērni no 5.gadu vec.'!N32</f>
        <v>0</v>
      </c>
      <c r="O32" s="72">
        <f>'bērni līdz 5 gadiem'!O32+'bērni no 5.gadu vec.'!O32</f>
        <v>0</v>
      </c>
      <c r="P32" s="72">
        <f>'bērni līdz 5 gadiem'!P32+'bērni no 5.gadu vec.'!P32</f>
        <v>0</v>
      </c>
      <c r="Q32" s="72">
        <f>'bērni līdz 5 gadiem'!Q32+'bērni no 5.gadu vec.'!Q32</f>
        <v>0</v>
      </c>
      <c r="R32" s="72">
        <f>'bērni līdz 5 gadiem'!R32+'bērni no 5.gadu vec.'!R32</f>
        <v>0</v>
      </c>
      <c r="S32" s="72">
        <f>'bērni līdz 5 gadiem'!S32+'bērni no 5.gadu vec.'!S32</f>
        <v>0</v>
      </c>
      <c r="T32" s="68">
        <f t="shared" si="0"/>
        <v>53</v>
      </c>
    </row>
    <row r="33" spans="1:21" ht="18" customHeight="1" x14ac:dyDescent="0.25">
      <c r="A33" s="82" t="s">
        <v>9</v>
      </c>
      <c r="B33" s="83"/>
      <c r="C33" s="80">
        <f t="shared" ref="C33:T33" si="7">C14+C15+C16+C17+C24+C31+C32</f>
        <v>216733.84999999998</v>
      </c>
      <c r="D33" s="80">
        <f t="shared" si="7"/>
        <v>421755.49999999994</v>
      </c>
      <c r="E33" s="80">
        <f t="shared" si="7"/>
        <v>590646.5199999999</v>
      </c>
      <c r="F33" s="80">
        <f t="shared" si="7"/>
        <v>91323.330000000016</v>
      </c>
      <c r="G33" s="80">
        <f t="shared" si="7"/>
        <v>94258.87</v>
      </c>
      <c r="H33" s="80">
        <f t="shared" si="7"/>
        <v>184084.13999999996</v>
      </c>
      <c r="I33" s="80">
        <f t="shared" si="7"/>
        <v>350519</v>
      </c>
      <c r="J33" s="80">
        <f t="shared" si="7"/>
        <v>94592.31</v>
      </c>
      <c r="K33" s="80">
        <f t="shared" si="7"/>
        <v>342272.48</v>
      </c>
      <c r="L33" s="80">
        <f t="shared" si="7"/>
        <v>175044.96999999997</v>
      </c>
      <c r="M33" s="80">
        <f t="shared" si="7"/>
        <v>42435.79</v>
      </c>
      <c r="N33" s="80">
        <f t="shared" si="7"/>
        <v>118828.36999999998</v>
      </c>
      <c r="O33" s="80">
        <f t="shared" si="7"/>
        <v>288457</v>
      </c>
      <c r="P33" s="80">
        <f t="shared" si="7"/>
        <v>129069.38</v>
      </c>
      <c r="Q33" s="80">
        <f t="shared" si="7"/>
        <v>329344.75999999995</v>
      </c>
      <c r="R33" s="80">
        <f t="shared" si="7"/>
        <v>68039.5</v>
      </c>
      <c r="S33" s="80">
        <f t="shared" si="7"/>
        <v>65949.5</v>
      </c>
      <c r="T33" s="80">
        <f t="shared" si="7"/>
        <v>3603355.2699999996</v>
      </c>
    </row>
    <row r="34" spans="1:21" ht="30" customHeight="1" x14ac:dyDescent="0.25">
      <c r="A34" s="82" t="s">
        <v>30</v>
      </c>
      <c r="B34" s="84"/>
      <c r="C34" s="81">
        <f t="shared" ref="C34:T34" si="8">C33/12/C12</f>
        <v>173.66494391025637</v>
      </c>
      <c r="D34" s="81">
        <f t="shared" si="8"/>
        <v>156.20574074074074</v>
      </c>
      <c r="E34" s="81">
        <f t="shared" si="8"/>
        <v>154.78158280922429</v>
      </c>
      <c r="F34" s="81">
        <f t="shared" si="8"/>
        <v>190.25693750000002</v>
      </c>
      <c r="G34" s="81">
        <f t="shared" si="8"/>
        <v>135.42941091954023</v>
      </c>
      <c r="H34" s="81">
        <f t="shared" si="8"/>
        <v>207.3019594594594</v>
      </c>
      <c r="I34" s="81">
        <f t="shared" si="8"/>
        <v>283.5914239482201</v>
      </c>
      <c r="J34" s="81">
        <f t="shared" si="8"/>
        <v>202.12032051282051</v>
      </c>
      <c r="K34" s="81">
        <f t="shared" si="8"/>
        <v>266.56735202492212</v>
      </c>
      <c r="L34" s="81">
        <f t="shared" si="8"/>
        <v>231.54096560846557</v>
      </c>
      <c r="M34" s="81">
        <f t="shared" si="8"/>
        <v>294.69298611111111</v>
      </c>
      <c r="N34" s="81">
        <f t="shared" si="8"/>
        <v>235.77057539682534</v>
      </c>
      <c r="O34" s="81">
        <f t="shared" si="8"/>
        <v>282.80098039215687</v>
      </c>
      <c r="P34" s="81">
        <f t="shared" si="8"/>
        <v>185.44451149425288</v>
      </c>
      <c r="Q34" s="81">
        <f t="shared" si="8"/>
        <v>238.65562318840577</v>
      </c>
      <c r="R34" s="81">
        <f t="shared" si="8"/>
        <v>226.79833333333332</v>
      </c>
      <c r="S34" s="81">
        <f t="shared" si="8"/>
        <v>238.94746376811597</v>
      </c>
      <c r="T34" s="81">
        <f t="shared" si="8"/>
        <v>201.39477252403304</v>
      </c>
    </row>
    <row r="35" spans="1:21" x14ac:dyDescent="0.2">
      <c r="D35" s="6"/>
    </row>
    <row r="36" spans="1:21" x14ac:dyDescent="0.2">
      <c r="T36" s="57"/>
      <c r="U36" s="15"/>
    </row>
    <row r="37" spans="1:21" x14ac:dyDescent="0.2">
      <c r="C37" s="13"/>
      <c r="D37" s="13"/>
      <c r="E37" s="13"/>
      <c r="H37" s="15"/>
      <c r="I37" s="15"/>
    </row>
  </sheetData>
  <mergeCells count="3">
    <mergeCell ref="A13:F13"/>
    <mergeCell ref="A33:B33"/>
    <mergeCell ref="A34:B3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Skolas</vt:lpstr>
      <vt:lpstr>bērni līdz 5 gadiem</vt:lpstr>
      <vt:lpstr>bērni no 5.gadu vec.</vt:lpstr>
      <vt:lpstr>PII kopā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LindaV</cp:lastModifiedBy>
  <cp:lastPrinted>2022-02-08T06:49:29Z</cp:lastPrinted>
  <dcterms:created xsi:type="dcterms:W3CDTF">2004-02-26T13:25:26Z</dcterms:created>
  <dcterms:modified xsi:type="dcterms:W3CDTF">2022-02-16T12:14:18Z</dcterms:modified>
</cp:coreProperties>
</file>